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I8mMbAyyWUMDj3nYOMjPfK+pQC+ihcZP9Xae71qw0ZKL3InA9Iuf/2DI6EkXWd5xxTKhi/tq4s/Al910CJZjlA==" workbookSaltValue="cRDfpJmuh2d5djFwVMuK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B9" i="6"/>
  <c r="C12" i="14"/>
  <c r="K12" i="14" s="1"/>
  <c r="AL16" i="11"/>
  <c r="C16" i="6"/>
  <c r="BE9" i="13"/>
  <c r="R8" i="9"/>
  <c r="T17" i="11" s="1"/>
  <c r="X17" i="20"/>
  <c r="S17" i="14"/>
  <c r="V17" i="14" s="1"/>
  <c r="AA10" i="16"/>
  <c r="AA9"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P13" i="21"/>
  <c r="V10" i="21"/>
  <c r="V15" i="16"/>
  <c r="AA15" i="16"/>
  <c r="S9" i="14"/>
  <c r="V9" i="14" s="1"/>
  <c r="L11" i="2"/>
  <c r="X10" i="17"/>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P9" i="11" s="1"/>
  <c r="BK10" i="11"/>
  <c r="BK13" i="11" s="1"/>
  <c r="S15" i="17"/>
  <c r="S16" i="17"/>
  <c r="L17" i="2"/>
  <c r="V10" i="16"/>
  <c r="AP16" i="20"/>
  <c r="V15" i="11"/>
  <c r="BH15" i="11"/>
  <c r="Q17" i="20"/>
  <c r="Q18" i="20" s="1"/>
  <c r="BF17" i="11"/>
  <c r="S17" i="16"/>
  <c r="V17" i="16"/>
  <c r="BK15" i="11"/>
  <c r="AZ17" i="11"/>
  <c r="Q10" i="2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9" i="21"/>
  <c r="AO13" i="17"/>
  <c r="AL13" i="11"/>
  <c r="B13" i="6"/>
  <c r="T18" i="16"/>
  <c r="T19" i="16" s="1"/>
  <c r="BK18" i="11"/>
  <c r="BV13" i="16"/>
  <c r="Q16"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16"/>
  <c r="AB20" i="21"/>
  <c r="F20" i="16"/>
  <c r="AV20" i="11"/>
  <c r="K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S20" i="11"/>
  <c r="L20" i="17"/>
  <c r="S20" i="17"/>
  <c r="E20" i="17"/>
  <c r="BE20" i="16"/>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<sst xmlns="http://schemas.openxmlformats.org/spreadsheetml/2006/main" count="2102" uniqueCount="917">
  <si>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</si>
  <si>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</si>
  <si>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</si>
  <si>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</si>
  <si>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</si>
  <si>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</si>
  <si>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</si>
  <si>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</si>
  <si>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</si>
  <si>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</si>
  <si>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</si>
  <si>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</si>
  <si>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</si>
  <si>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</si>
  <si>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</si>
  <si>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</si>
  <si>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</si>
  <si>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</si>
  <si>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</si>
  <si>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</si>
  <si>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</si>
  <si>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</si>
  <si>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</si>
  <si>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</si>
  <si>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</si>
  <si>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</si>
  <si>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</si>
  <si>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</si>
  <si>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</si>
  <si>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</si>
  <si>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</si>
  <si>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</si>
  <si>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</si>
  <si>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</si>
  <si>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</si>
  <si>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</si>
  <si>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</si>
  <si>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</si>
  <si>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</si>
  <si>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</si>
  <si>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</si>
  <si>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</si>
  <si>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</si>
  <si>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</si>
  <si>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</si>
  <si>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</si>
  <si>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</si>
  <si>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</si>
  <si>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</si>
  <si>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</si>
  <si>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</si>
  <si>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</si>
  <si>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</si>
  <si>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</si>
  <si>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</si>
  <si>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</si>
  <si>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</si>
  <si>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</si>
  <si>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</si>
  <si>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</si>
  <si>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</si>
  <si>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</si>
  <si>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</si>
  <si>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</si>
  <si>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</si>
  <si>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</si>
  <si>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</si>
  <si>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</si>
  <si>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</si>
  <si>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</si>
  <si>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</si>
  <si>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</si>
  <si>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</si>
  <si>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</si>
  <si>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</si>
  <si>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</si>
  <si>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</si>
  <si>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</si>
  <si>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</si>
  <si>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</si>
  <si>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</si>
  <si>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</si>
  <si>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</si>
  <si>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</si>
  <si>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</si>
  <si>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</si>
  <si>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</si>
  <si>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</si>
  <si>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</si>
  <si>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</si>
  <si>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</si>
  <si>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</si>
  <si>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</si>
  <si>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</si>
  <si>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</si>
  <si>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</si>
  <si>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</si>
  <si>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</si>
  <si>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</si>
  <si>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</si>
  <si>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</si>
  <si>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</si>
  <si>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</si>
  <si>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</si>
  <si>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</si>
  <si>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</si>
  <si>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</si>
  <si>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</si>
  <si>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</si>
  <si>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</si>
  <si>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</si>
  <si>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</si>
  <si>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</si>
  <si>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</si>
  <si>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</si>
  <si>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</si>
  <si>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</si>
  <si>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</si>
  <si>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</si>
  <si>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</si>
  <si>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</si>
  <si>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</si>
  <si>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</si>
  <si>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</si>
  <si>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</si>
  <si>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</si>
  <si>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</si>
  <si>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</si>
  <si>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</si>
  <si>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</si>
  <si>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</si>
  <si>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</si>
  <si>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</si>
  <si>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</si>
  <si>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</si>
  <si>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</si>
  <si>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</si>
  <si>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</si>
  <si>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</si>
  <si>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</si>
  <si>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</si>
  <si>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</si>
  <si>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</si>
  <si>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</si>
  <si>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</si>
  <si>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</si>
  <si>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</si>
  <si>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</si>
  <si>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</si>
  <si>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</si>
  <si>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</si>
  <si>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</si>
  <si>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</si>
  <si>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</si>
  <si>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</si>
  <si>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</si>
  <si>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</si>
  <si>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</si>
  <si>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</si>
  <si>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</si>
  <si>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</si>
  <si>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</si>
  <si>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</si>
  <si>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</si>
  <si>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</si>
  <si>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</si>
  <si>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</si>
  <si>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</si>
  <si>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</si>
  <si>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</si>
  <si>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</si>
  <si>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</si>
  <si>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</si>
  <si>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</si>
  <si>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</si>
  <si>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</si>
  <si>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</si>
  <si>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</si>
  <si>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</si>
  <si>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</si>
  <si>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</si>
  <si>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</si>
  <si>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</si>
  <si>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</si>
  <si>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</si>
  <si>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</si>
  <si>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</si>
  <si>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</si>
  <si>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</si>
  <si>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</si>
  <si>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</si>
  <si>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</si>
  <si>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</si>
  <si>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</si>
  <si>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</si>
  <si>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</si>
  <si>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</si>
  <si>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</si>
  <si>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</si>
  <si>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</si>
  <si>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</si>
  <si>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</si>
  <si>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</si>
  <si>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</si>
  <si>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</si>
  <si>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</si>
  <si>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</si>
  <si>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</si>
  <si>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</si>
  <si>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</si>
  <si>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</si>
  <si>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</si>
  <si>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</si>
  <si>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</si>
  <si>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</si>
  <si>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</si>
  <si>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</si>
  <si>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</si>
  <si>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</si>
  <si>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</si>
  <si>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</si>
  <si>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</si>
  <si>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</si>
  <si>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</si>
  <si>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</si>
  <si>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</si>
  <si>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</si>
  <si>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</si>
  <si>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</si>
  <si>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</si>
  <si>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</si>
  <si>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</si>
  <si>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</si>
  <si>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</si>
  <si>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</si>
  <si>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</si>
  <si>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</si>
  <si>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</si>
  <si>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</si>
  <si>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</si>
  <si>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</si>
  <si>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</si>
  <si>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</si>
  <si>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</si>
  <si>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</si>
  <si>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</si>
  <si>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</si>
  <si>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</si>
  <si>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</si>
  <si>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</si>
  <si>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</si>
  <si>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</si>
  <si>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</si>
  <si>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</si>
  <si>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</si>
  <si>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</si>
  <si>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</si>
  <si>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</si>
  <si>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</si>
  <si>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</si>
  <si>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</si>
  <si>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</si>
  <si>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</si>
  <si>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</si>
  <si>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</si>
  <si>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</si>
  <si>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</si>
  <si>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</si>
  <si>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</si>
  <si>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</si>
  <si>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</si>
  <si>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</si>
  <si>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</si>
  <si>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</si>
  <si>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</si>
  <si>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</si>
  <si>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</si>
  <si>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</si>
  <si>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</si>
  <si>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</si>
  <si>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</si>
  <si>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</si>
  <si>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</si>
  <si>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</si>
  <si>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</si>
  <si>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</si>
  <si>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</si>
  <si>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</si>
  <si>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</si>
  <si>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</si>
  <si>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</si>
  <si>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</si>
  <si>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</si>
  <si>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</si>
  <si>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</si>
  <si>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</si>
  <si>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</si>
  <si>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</si>
  <si>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</si>
  <si>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</si>
  <si>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</si>
  <si>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</si>
  <si>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</si>
  <si>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</si>
  <si>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</si>
  <si>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</si>
  <si>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</si>
  <si>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</si>
  <si>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</si>
  <si>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</si>
  <si>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</si>
  <si>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</si>
  <si>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</si>
  <si>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</si>
  <si>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</si>
  <si>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</si>
  <si>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</si>
  <si>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</si>
  <si>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</si>
  <si>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</si>
  <si>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</si>
  <si>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</si>
  <si>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</si>
  <si>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</si>
  <si>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</si>
  <si>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</si>
  <si>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</si>
  <si>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</si>
  <si>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</si>
  <si>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</si>
  <si>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</si>
  <si>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</si>
  <si>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</si>
  <si>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</si>
  <si>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</si>
  <si>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</si>
  <si>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</si>
  <si>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</si>
  <si>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</si>
  <si>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</si>
  <si>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</si>
  <si>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</si>
  <si>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</si>
  <si>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</si>
  <si>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</si>
  <si>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</si>
  <si>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</si>
  <si>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</si>
  <si>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</si>
  <si>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</si>
  <si>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</si>
  <si>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</si>
  <si>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</si>
  <si>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</si>
  <si>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</si>
  <si>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</si>
  <si>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</si>
  <si>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</si>
  <si>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</si>
  <si>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</si>
  <si>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</si>
  <si>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</si>
  <si>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</si>
  <si>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</si>
  <si>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</si>
  <si>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</si>
  <si>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</si>
  <si>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</si>
  <si>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</si>
  <si>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</si>
  <si>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</si>
  <si>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</si>
  <si>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</si>
  <si>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</si>
  <si>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</si>
  <si>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</si>
  <si>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</si>
  <si>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</si>
  <si>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</si>
  <si>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</si>
  <si>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</si>
  <si>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</si>
  <si>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</si>
  <si>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</si>
  <si>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</si>
  <si>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</si>
  <si>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</si>
  <si>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</si>
  <si>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</si>
  <si>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</si>
  <si>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</si>
  <si>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</si>
  <si>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</si>
  <si>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</si>
  <si>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</si>
  <si>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</si>
  <si>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</si>
  <si>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</si>
  <si>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</si>
  <si>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</si>
  <si>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</si>
  <si>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</si>
  <si>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</si>
  <si>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</si>
  <si>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</si>
  <si>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</si>
  <si>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</si>
  <si>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</si>
  <si>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</si>
  <si>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</si>
  <si>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</si>
  <si>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</si>
  <si>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</si>
  <si>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</si>
  <si>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</si>
  <si>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</si>
  <si>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</si>
  <si>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</si>
  <si>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</si>
  <si>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</si>
  <si>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</si>
  <si>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</si>
  <si>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</si>
  <si>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</si>
  <si>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</si>
  <si>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</si>
  <si>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</si>
  <si>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</si>
  <si>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</si>
  <si>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</si>
  <si>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</si>
  <si>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</si>
  <si>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</si>
  <si>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</si>
  <si>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</si>
  <si>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</si>
  <si>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</si>
  <si>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</si>
  <si>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</si>
  <si>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</si>
  <si>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</si>
  <si>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</si>
  <si>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</si>
  <si>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</si>
  <si>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</si>
  <si>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</si>
  <si>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</si>
  <si>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</si>
  <si>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</si>
  <si>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</si>
  <si>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</si>
  <si>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</si>
  <si>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</si>
  <si>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</si>
  <si>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</si>
  <si>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</si>
  <si>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</si>
  <si>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</si>
  <si>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</si>
  <si>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</si>
  <si>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</si>
  <si>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</si>
  <si>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</si>
  <si>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</si>
  <si>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</si>
  <si>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</si>
  <si>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</si>
  <si>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</si>
  <si>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</si>
  <si>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</si>
  <si>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</si>
  <si>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</si>
  <si>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</si>
  <si>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</si>
  <si>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</si>
  <si>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</si>
  <si>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</si>
  <si>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</si>
  <si>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</si>
  <si>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</si>
  <si>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</si>
  <si>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</si>
  <si>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</si>
  <si>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</si>
  <si>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</si>
  <si>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</si>
  <si>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</si>
  <si>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</si>
  <si>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</si>
  <si>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</si>
  <si>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</si>
  <si>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</si>
  <si>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</si>
  <si>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</si>
  <si>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</si>
  <si>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</si>
  <si>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</si>
  <si>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</si>
  <si>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</si>
  <si>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</si>
  <si>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</si>
  <si>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</si>
  <si>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</si>
  <si>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</si>
  <si>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</si>
  <si>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</si>
  <si>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</si>
  <si>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</si>
  <si>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</si>
  <si>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</si>
  <si>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</si>
  <si>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</si>
  <si>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</si>
  <si>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</si>
  <si>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</si>
  <si>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</si>
  <si>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</si>
  <si>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</si>
  <si>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</si>
  <si>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</si>
  <si>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</si>
  <si>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</si>
  <si>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</si>
  <si>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</si>
  <si>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</si>
  <si>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</si>
  <si>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</si>
  <si>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</si>
  <si>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</si>
  <si>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</si>
  <si>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</si>
  <si>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</si>
  <si>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</si>
  <si>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</si>
  <si>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</si>
  <si>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</si>
  <si>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</si>
  <si>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</si>
  <si>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</si>
  <si>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</si>
  <si>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</si>
  <si>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</si>
  <si>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</si>
  <si>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</si>
  <si>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</si>
  <si>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</si>
  <si>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</si>
  <si>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</si>
  <si>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</si>
  <si>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</si>
  <si>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</si>
  <si>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</si>
  <si>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</si>
  <si>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</si>
  <si>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</si>
  <si>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</si>
  <si>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</si>
  <si>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</si>
  <si>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</si>
  <si>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</si>
  <si>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</si>
  <si>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</si>
  <si>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</si>
  <si>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</si>
  <si>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</si>
  <si>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</si>
  <si>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</si>
  <si>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</si>
  <si>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</si>
  <si>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</si>
  <si>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</si>
  <si>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</si>
  <si>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</si>
  <si>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</si>
  <si>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</si>
  <si>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</si>
  <si>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</si>
  <si>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</si>
  <si>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</si>
  <si>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</si>
  <si>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</si>
  <si>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</si>
  <si>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</si>
  <si>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</si>
  <si>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</si>
  <si>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</si>
  <si>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</si>
  <si>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</si>
  <si>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</si>
  <si>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</si>
  <si>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</si>
  <si>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</si>
  <si>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</si>
  <si>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</si>
  <si>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</si>
  <si>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</si>
  <si>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</si>
  <si>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</si>
  <si>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</si>
  <si>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</si>
  <si>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</si>
  <si>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</si>
  <si>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</si>
  <si>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</si>
  <si>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</si>
  <si>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</si>
  <si>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</si>
  <si>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</si>
  <si>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</si>
  <si>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</si>
  <si>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</si>
  <si>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</si>
  <si>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</si>
  <si>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</si>
  <si>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</si>
  <si>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</si>
  <si>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</si>
  <si>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</si>
  <si>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</si>
  <si>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</si>
  <si>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</si>
  <si>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</si>
  <si>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</si>
  <si>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</si>
  <si>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</si>
  <si>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</si>
  <si>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</si>
  <si>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</si>
  <si>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</si>
  <si>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</si>
  <si>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</si>
  <si>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</si>
  <si>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</si>
  <si>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</si>
  <si>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</si>
  <si>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</si>
  <si>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</si>
  <si>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</si>
  <si>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</si>
  <si>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</si>
  <si>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</si>
  <si>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</si>
  <si>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</si>
  <si>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</si>
  <si>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</si>
  <si>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</si>
  <si>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</si>
  <si>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</si>
  <si>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</si>
  <si>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</si>
  <si>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</si>
  <si>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</si>
  <si>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</si>
  <si>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</si>
  <si>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</si>
  <si>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</si>
  <si>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</si>
  <si>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</si>
  <si>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</si>
  <si>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</si>
  <si>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</si>
  <si>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</si>
  <si>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</si>
  <si>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</si>
  <si>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</si>
  <si>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</si>
  <si>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</si>
  <si>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</si>
  <si>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</si>
  <si>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</si>
  <si>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</si>
  <si>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</si>
  <si>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</si>
  <si>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</si>
  <si>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</si>
  <si>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</si>
  <si>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</si>
  <si>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</si>
  <si>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</si>
  <si>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</si>
  <si>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</si>
  <si>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</si>
  <si>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</si>
  <si>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</si>
  <si>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</si>
  <si>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</si>
  <si>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</si>
  <si>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</si>
  <si>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</si>
  <si>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</si>
  <si>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</si>
  <si>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</si>
  <si>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</si>
  <si>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</si>
  <si>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</si>
  <si>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</si>
  <si>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</si>
  <si>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</si>
  <si>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</si>
  <si>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</si>
  <si>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</si>
  <si>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</si>
  <si>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</si>
  <si>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</si>
  <si>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</si>
  <si>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</si>
  <si>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</si>
  <si>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</si>
  <si>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</si>
  <si>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</si>
  <si>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</si>
  <si>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</si>
  <si>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</si>
  <si>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</si>
  <si>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</si>
  <si>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</si>
  <si>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</si>
  <si>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</si>
  <si>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</si>
  <si>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</si>
  <si>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</si>
  <si>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</si>
  <si>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</si>
  <si>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</si>
  <si>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</si>
  <si>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</si>
  <si>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</si>
  <si>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</si>
  <si>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</si>
  <si>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</si>
  <si>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</si>
  <si>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</si>
  <si>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</si>
  <si>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</si>
  <si>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</si>
  <si>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</si>
  <si>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</si>
  <si>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</si>
  <si>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</si>
  <si>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</si>
  <si>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</si>
  <si>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</si>
  <si>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</si>
  <si>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</si>
  <si>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</si>
  <si>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</si>
  <si>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</si>
  <si>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</si>
  <si>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</si>
  <si>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</si>
  <si>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</si>
  <si>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</si>
  <si>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</si>
  <si>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</si>
  <si>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</si>
  <si>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</si>
  <si>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</si>
  <si>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</si>
  <si>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</si>
  <si>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</si>
  <si>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</si>
  <si>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</si>
  <si>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</si>
  <si>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</si>
  <si>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</si>
  <si>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</si>
  <si>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</si>
  <si>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</si>
  <si>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</si>
  <si>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</si>
  <si>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</si>
  <si>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</si>
  <si>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</si>
  <si>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</si>
  <si>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</si>
  <si>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</si>
  <si>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</si>
  <si>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</si>
  <si>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</si>
  <si>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</si>
  <si>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</si>
  <si>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</si>
  <si>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</si>
  <si>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</si>
  <si>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</si>
  <si>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</si>
  <si>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</si>
  <si>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</si>
  <si>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</si>
  <si>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</si>
  <si>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</si>
  <si>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</si>
  <si>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</si>
  <si>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</si>
  <si>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</si>
  <si>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</si>
  <si>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</si>
  <si>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</si>
  <si>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</si>
  <si>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</si>
  <si>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</si>
  <si>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</si>
  <si>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</si>
  <si>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</si>
  <si>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</si>
  <si>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</si>
  <si>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</si>
  <si>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</si>
  <si>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</si>
  <si>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</si>
  <si>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</si>
  <si>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</si>
  <si>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</si>
  <si>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</si>
  <si>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</si>
  <si>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</si>
  <si>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</si>
  <si>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</si>
  <si>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</si>
  <si>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</si>
  <si>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</si>
  <si>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</si>
  <si>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</si>
  <si>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</si>
  <si>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</si>
  <si>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</si>
  <si>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</si>
  <si>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</si>
  <si>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</si>
  <si>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</si>
  <si>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</si>
  <si>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</si>
  <si>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</si>
  <si>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</si>
  <si>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</si>
  <si>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</si>
  <si>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</si>
  <si>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</si>
  <si>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</si>
  <si>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</si>
  <si>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</si>
  <si>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</si>
  <si>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</si>
  <si>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</si>
  <si>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</si>
  <si>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</si>
  <si>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</si>
  <si>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</si>
  <si>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</si>
  <si>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</si>
  <si>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</si>
  <si>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</si>
  <si>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</si>
  <si>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</si>
  <si>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</si>
  <si>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</si>
  <si>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</si>
  <si>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</si>
  <si>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</si>
  <si>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</si>
  <si>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</si>
  <si>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</si>
  <si>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</si>
  <si>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</si>
  <si>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</si>
  <si>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</si>
  <si>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</si>
  <si>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</si>
  <si>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</si>
  <si>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</si>
  <si>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</si>
  <si>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</si>
  <si>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</si>
  <si>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</si>
  <si>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</si>
  <si>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</si>
  <si>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</si>
  <si>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</si>
  <si>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</si>
  <si>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</si>
  <si>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</si>
  <si>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</si>
  <si>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</si>
  <si>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</si>
  <si>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</si>
  <si>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</si>
  <si>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</si>
  <si>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</si>
  <si>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</si>
  <si>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</si>
  <si>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</si>
  <si>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</si>
  <si>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</si>
  <si>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</si>
  <si>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</si>
  <si>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</si>
  <si>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</si>
  <si>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</si>
  <si>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</si>
  <si>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</si>
  <si>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</si>
  <si>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</si>
  <si>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</si>
  <si>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</si>
  <si>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</si>
  <si>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</si>
  <si>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</si>
  <si>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</si>
  <si>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</si>
  <si>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</si>
  <si>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</si>
  <si>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</si>
  <si>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</si>
  <si>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CANTABRIA</t>
  </si>
  <si>
    <t>Provincias</t>
  </si>
  <si>
    <t>Resumenes por Partidos Judiciales</t>
  </si>
  <si>
    <t>LAREDO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</si>
</sst>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UHcL9CM43PBW6u39onERKn8oI6EixYRd+a0hJoNciKwxtqTMaNfryfnRHp5hIaaH7qwr1YAB2Og/OmQoNo8mw==" saltValue="TpU4XmXx2YWNY9WvBVkL7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5</v>
      </c>
      <c r="F10" s="226">
        <f>IF(ISNUMBER(Datos!K10),Datos!K10," - ")</f>
        <v>5</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22.926966292134832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314</v>
      </c>
      <c r="D16" s="225">
        <f>IF(ISNUMBER(IF(D_I="SI",Datos!I16,Datos!I16+Datos!AC16)),IF(D_I="SI",Datos!I16,Datos!I16+Datos!AC16)," - ")</f>
        <v>314</v>
      </c>
      <c r="E16" s="226">
        <f>IF(ISNUMBER(IF(D_I="SI",Datos!J16,Datos!J16+Datos!AD16)),IF(D_I="SI",Datos!J16,Datos!J16+Datos!AD16)," - ")</f>
        <v>302</v>
      </c>
      <c r="F16" s="226">
        <f>IF(ISNUMBER(IF(D_I="SI",Datos!K16,Datos!K16+Datos!AE16)),IF(D_I="SI",Datos!K16,Datos!K16+Datos!AE16)," - ")</f>
        <v>294</v>
      </c>
      <c r="G16" s="1034" t="str">
        <f>IF(Datos!E16&lt;&gt;"",Datos!E16,Datos!D16)</f>
        <v>04</v>
      </c>
      <c r="H16" s="227">
        <f>IF(ISNUMBER(IF(D_I="SI",Datos!L16,Datos!L16+Datos!AF16)),IF(D_I="SI",Datos!L16,Datos!L16+Datos!AF16)," - ")</f>
        <v>322</v>
      </c>
      <c r="I16" s="1044" t="str">
        <f>IF(ISNUMBER(Datos!AS16/Datos!BM16),Datos!AS16/Datos!BM16," - ")</f>
        <v xml:space="preserve"> - </v>
      </c>
      <c r="J16" s="1045">
        <f>IF(ISNUMBER(Datos!BY16/Datos!CN16),Datos!BY16/Datos!CN16," - ")</f>
        <v>0</v>
      </c>
      <c r="K16" s="230">
        <f t="shared" si="3"/>
        <v>2.5477707006369428E-2</v>
      </c>
      <c r="L16" s="1025">
        <f>IF(ISNUMBER(NºAsuntos!I16/NºAsuntos!G16),(NºAsuntos!I16/NºAsuntos!G16)*11," - ")</f>
        <v>12.047619047619049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36</v>
      </c>
      <c r="F17" s="226">
        <f>IF(ISNUMBER(IF(D_I="SI",Datos!K17,Datos!K17+Datos!AE17)),IF(D_I="SI",Datos!K17,Datos!K17+Datos!AE17)," - ")</f>
        <v>38</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1.7368421052631577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322</v>
      </c>
      <c r="D18" s="1049">
        <f>SUBTOTAL(9,D15:D17)</f>
        <v>322</v>
      </c>
      <c r="E18" s="1050">
        <f>SUBTOTAL(9,E15:E17)</f>
        <v>338</v>
      </c>
      <c r="F18" s="1050">
        <f>SUBTOTAL(9,F15:F17)</f>
        <v>332</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340</v>
      </c>
      <c r="D19" s="1071">
        <f>SUBTOTAL(9,D9:D18)</f>
        <v>340</v>
      </c>
      <c r="E19" s="1072">
        <f>SUBTOTAL(9,E9:E18)</f>
        <v>343</v>
      </c>
      <c r="F19" s="1072">
        <f>SUBTOTAL(9,F9:F18)</f>
        <v>337</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oQGL9KWE3yHCoDBuD/gEjtHZBE5Y0RtUl6mphVfiFdE2aWb0BdhLapact2L+gFKmtuOMq5hbPrtvTV3EmRuaw==" saltValue="+NmYbmWat6D9UPOC9wb4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pNlPgM5Y4SgzMoinUf/xWWKEK/60LHXhsfdspwFCr2TIZx3Sx1fA2LqSKT6p4FN7kaVmhK4JXXNsWaZZkY3gA==" saltValue="eRSlXyKKCvMjnr3MNd5M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5</v>
      </c>
      <c r="K10" s="181">
        <v>5</v>
      </c>
      <c r="L10" s="181">
        <v>18</v>
      </c>
      <c r="M10" s="181">
        <v>2</v>
      </c>
      <c r="N10" s="181">
        <v>1</v>
      </c>
      <c r="O10" s="181">
        <v>2</v>
      </c>
      <c r="P10" s="181">
        <v>0</v>
      </c>
      <c r="Q10" s="181">
        <v>1</v>
      </c>
      <c r="R10" s="181">
        <v>7</v>
      </c>
      <c r="S10" s="181">
        <v>12</v>
      </c>
      <c r="T10" s="181">
        <v>5</v>
      </c>
      <c r="U10" s="181">
        <v>4</v>
      </c>
      <c r="V10" s="181">
        <v>13</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5</v>
      </c>
      <c r="BA10" s="129">
        <f t="shared" si="0"/>
        <v>4</v>
      </c>
      <c r="BB10" s="129">
        <f t="shared" si="0"/>
        <v>13</v>
      </c>
      <c r="BC10" s="125">
        <f t="shared" si="0"/>
        <v>2</v>
      </c>
      <c r="BD10" s="126">
        <f>IF(ISNUMBER(BA10/AZ10),BA10/AZ10," - ")</f>
        <v>0.8</v>
      </c>
      <c r="BE10" s="127">
        <f>IF(ISNUMBER(BB10/BA10),BB10/BA10, " - ")</f>
        <v>3.25</v>
      </c>
      <c r="BF10" s="127">
        <f>IF(ISNUMBER(BC10/BA10),BC10/BA10, " - ")</f>
        <v>0.5</v>
      </c>
      <c r="BG10" s="196">
        <f>IF(ISNUMBER((AY10+AZ10)/BA10),(AY10+AZ10)/BA10," - ")</f>
        <v>4.25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1107</v>
      </c>
      <c r="J12" s="183">
        <v>457</v>
      </c>
      <c r="K12" s="183">
        <v>479</v>
      </c>
      <c r="L12" s="183">
        <v>1085</v>
      </c>
      <c r="M12" s="183">
        <v>194</v>
      </c>
      <c r="N12" s="183">
        <v>159</v>
      </c>
      <c r="O12" s="181">
        <v>217</v>
      </c>
      <c r="P12" s="183">
        <v>112</v>
      </c>
      <c r="Q12" s="183">
        <v>74</v>
      </c>
      <c r="R12" s="183">
        <v>1155</v>
      </c>
      <c r="S12" s="183">
        <v>732</v>
      </c>
      <c r="T12" s="183">
        <v>480</v>
      </c>
      <c r="U12" s="183">
        <v>283</v>
      </c>
      <c r="V12" s="183">
        <v>929</v>
      </c>
      <c r="W12" s="183">
        <v>103</v>
      </c>
      <c r="X12" s="189">
        <v>113</v>
      </c>
      <c r="Y12" s="191">
        <v>27</v>
      </c>
      <c r="Z12" s="181">
        <v>56</v>
      </c>
      <c r="AA12" s="181">
        <v>55</v>
      </c>
      <c r="AB12" s="181">
        <v>28</v>
      </c>
      <c r="AC12" s="183">
        <v>0</v>
      </c>
      <c r="AD12" s="183">
        <v>0</v>
      </c>
      <c r="AE12" s="183">
        <v>0</v>
      </c>
      <c r="AF12" s="189">
        <v>0</v>
      </c>
      <c r="AG12" s="202">
        <v>19</v>
      </c>
      <c r="AH12" s="183">
        <v>37</v>
      </c>
      <c r="AI12" s="183">
        <v>44</v>
      </c>
      <c r="AJ12" s="203">
        <v>12</v>
      </c>
      <c r="AK12" s="182">
        <v>0</v>
      </c>
      <c r="AL12" s="183">
        <v>0</v>
      </c>
      <c r="AM12" s="183">
        <v>0</v>
      </c>
      <c r="AN12" s="189">
        <v>0</v>
      </c>
      <c r="AO12" s="259">
        <v>2</v>
      </c>
      <c r="AP12" s="155">
        <v>2</v>
      </c>
      <c r="AQ12" s="155">
        <v>2</v>
      </c>
      <c r="AR12" s="154">
        <v>2</v>
      </c>
      <c r="AS12" s="340" t="s">
        <v>802</v>
      </c>
      <c r="AT12" s="203"/>
      <c r="AU12" s="202"/>
      <c r="AV12" s="203"/>
      <c r="AW12" s="202"/>
      <c r="AX12" s="203"/>
      <c r="AY12" s="126">
        <f t="shared" si="1"/>
        <v>751</v>
      </c>
      <c r="AZ12" s="127">
        <f t="shared" si="1"/>
        <v>517</v>
      </c>
      <c r="BA12" s="127">
        <f t="shared" si="1"/>
        <v>327</v>
      </c>
      <c r="BB12" s="127">
        <f t="shared" si="1"/>
        <v>941</v>
      </c>
      <c r="BC12" s="125">
        <f>IF(ISNUMBER(X12),X12," - ")</f>
        <v>113</v>
      </c>
      <c r="BD12" s="126">
        <f t="shared" si="2"/>
        <v>0.63249516441005804</v>
      </c>
      <c r="BE12" s="127">
        <f t="shared" si="3"/>
        <v>2.8776758409785934</v>
      </c>
      <c r="BF12" s="127">
        <f t="shared" si="4"/>
        <v>0.34556574923547401</v>
      </c>
      <c r="BG12" s="196">
        <f t="shared" si="5"/>
        <v>3.8776758409785934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1125</v>
      </c>
      <c r="J13" s="184">
        <f t="shared" si="6"/>
        <v>462</v>
      </c>
      <c r="K13" s="184">
        <f t="shared" si="6"/>
        <v>484</v>
      </c>
      <c r="L13" s="184">
        <f t="shared" si="6"/>
        <v>1103</v>
      </c>
      <c r="M13" s="184">
        <f t="shared" si="6"/>
        <v>196</v>
      </c>
      <c r="N13" s="184">
        <f t="shared" si="6"/>
        <v>160</v>
      </c>
      <c r="O13" s="184">
        <f t="shared" si="6"/>
        <v>219</v>
      </c>
      <c r="P13" s="184">
        <f t="shared" si="6"/>
        <v>112</v>
      </c>
      <c r="Q13" s="184">
        <f t="shared" si="6"/>
        <v>75</v>
      </c>
      <c r="R13" s="184">
        <f t="shared" si="6"/>
        <v>1162</v>
      </c>
      <c r="S13" s="184">
        <f t="shared" si="6"/>
        <v>744</v>
      </c>
      <c r="T13" s="184">
        <f t="shared" si="6"/>
        <v>485</v>
      </c>
      <c r="U13" s="184">
        <f t="shared" si="6"/>
        <v>287</v>
      </c>
      <c r="V13" s="184">
        <f t="shared" si="6"/>
        <v>942</v>
      </c>
      <c r="W13" s="184">
        <f t="shared" si="6"/>
        <v>105</v>
      </c>
      <c r="X13" s="184">
        <f t="shared" si="6"/>
        <v>115</v>
      </c>
      <c r="Y13" s="184">
        <f t="shared" si="6"/>
        <v>27</v>
      </c>
      <c r="Z13" s="184">
        <f t="shared" si="6"/>
        <v>56</v>
      </c>
      <c r="AA13" s="184">
        <f t="shared" si="6"/>
        <v>55</v>
      </c>
      <c r="AB13" s="184">
        <f t="shared" si="6"/>
        <v>28</v>
      </c>
      <c r="AC13" s="184">
        <f t="shared" si="6"/>
        <v>0</v>
      </c>
      <c r="AD13" s="184">
        <f t="shared" si="6"/>
        <v>0</v>
      </c>
      <c r="AE13" s="184">
        <f t="shared" si="6"/>
        <v>0</v>
      </c>
      <c r="AF13" s="184">
        <f>SUBTOTAL(9,AF9:AF12)</f>
        <v>0</v>
      </c>
      <c r="AG13" s="184">
        <f t="shared" ref="AG13:AT13" si="7">SUBTOTAL(9,AG8:AG12)</f>
        <v>19</v>
      </c>
      <c r="AH13" s="184">
        <f t="shared" si="7"/>
        <v>37</v>
      </c>
      <c r="AI13" s="184">
        <f t="shared" si="7"/>
        <v>44</v>
      </c>
      <c r="AJ13" s="184">
        <f t="shared" si="7"/>
        <v>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763</v>
      </c>
      <c r="AZ13" s="184">
        <f>SUBTOTAL(9,AZ8:AZ12)</f>
        <v>522</v>
      </c>
      <c r="BA13" s="184">
        <f>SUBTOTAL(9,BA8:BA12)</f>
        <v>331</v>
      </c>
      <c r="BB13" s="184">
        <f>SUBTOTAL(9,BB8:BB12)</f>
        <v>954</v>
      </c>
      <c r="BC13" s="184">
        <f>SUBTOTAL(9,BC8:BC12)</f>
        <v>115</v>
      </c>
      <c r="BD13" s="205">
        <f>IF(ISNUMBER(BA13/AZ13),BA13/AZ13," - ")</f>
        <v>0.63409961685823757</v>
      </c>
      <c r="BE13" s="206">
        <f>IF(ISNUMBER(BB13/BA13),BB13/BA13, " - ")</f>
        <v>2.8821752265861029</v>
      </c>
      <c r="BF13" s="206">
        <f>IF(ISNUMBER(BC13/BA13),BC13/BA13, " - ")</f>
        <v>0.34743202416918428</v>
      </c>
      <c r="BG13" s="207">
        <f>IF(ISNUMBER((AY13+AZ13)/BA13),(AY13+AZ13)/BA13," - ")</f>
        <v>3.8821752265861029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314</v>
      </c>
      <c r="J16" s="183">
        <v>302</v>
      </c>
      <c r="K16" s="183">
        <v>294</v>
      </c>
      <c r="L16" s="183">
        <v>322</v>
      </c>
      <c r="M16" s="183">
        <v>74</v>
      </c>
      <c r="N16" s="183">
        <v>130</v>
      </c>
      <c r="O16" s="181">
        <v>0</v>
      </c>
      <c r="P16" s="183">
        <v>14</v>
      </c>
      <c r="Q16" s="183">
        <v>15</v>
      </c>
      <c r="R16" s="183">
        <v>73</v>
      </c>
      <c r="S16" s="183">
        <v>229</v>
      </c>
      <c r="T16" s="183">
        <v>348</v>
      </c>
      <c r="U16" s="183">
        <v>330</v>
      </c>
      <c r="V16" s="183">
        <v>249</v>
      </c>
      <c r="W16" s="183">
        <v>41</v>
      </c>
      <c r="X16" s="189">
        <v>161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229</v>
      </c>
      <c r="AZ16" s="127">
        <f t="shared" si="9"/>
        <v>348</v>
      </c>
      <c r="BA16" s="127">
        <f t="shared" si="9"/>
        <v>330</v>
      </c>
      <c r="BB16" s="127">
        <f t="shared" si="9"/>
        <v>249</v>
      </c>
      <c r="BC16" s="125">
        <f>IF(ISNUMBER(W16),W16," - ")</f>
        <v>41</v>
      </c>
      <c r="BD16" s="126">
        <f t="shared" ref="BD16" si="11">IF(ISNUMBER(BA16/AZ16),BA16/AZ16," - ")</f>
        <v>0.94827586206896552</v>
      </c>
      <c r="BE16" s="127">
        <f t="shared" ref="BE16" si="12">IF(ISNUMBER(BB16/BA16),BB16/BA16, " - ")</f>
        <v>0.75454545454545452</v>
      </c>
      <c r="BF16" s="127">
        <f t="shared" ref="BF16" si="13">IF(ISNUMBER(BC16/BA16),BC16/BA16, " - ")</f>
        <v>0.12424242424242424</v>
      </c>
      <c r="BG16" s="196">
        <f t="shared" si="10"/>
        <v>1.7484848484848485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36</v>
      </c>
      <c r="K17" s="183">
        <v>38</v>
      </c>
      <c r="L17" s="183">
        <v>6</v>
      </c>
      <c r="M17" s="183">
        <v>4</v>
      </c>
      <c r="N17" s="183">
        <v>26</v>
      </c>
      <c r="O17" s="183">
        <v>0</v>
      </c>
      <c r="P17" s="183">
        <v>0</v>
      </c>
      <c r="Q17" s="183">
        <v>0</v>
      </c>
      <c r="R17" s="183">
        <v>1</v>
      </c>
      <c r="S17" s="183">
        <v>11</v>
      </c>
      <c r="T17" s="183">
        <v>44</v>
      </c>
      <c r="U17" s="183">
        <v>45</v>
      </c>
      <c r="V17" s="183">
        <v>10</v>
      </c>
      <c r="W17" s="183">
        <v>6</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44</v>
      </c>
      <c r="BA17" s="129">
        <f t="shared" si="14"/>
        <v>45</v>
      </c>
      <c r="BB17" s="129">
        <f t="shared" si="14"/>
        <v>10</v>
      </c>
      <c r="BC17" s="125">
        <f>IF(ISNUMBER(W17),W17," - ")</f>
        <v>6</v>
      </c>
      <c r="BD17" s="126">
        <f>IF(ISNUMBER(BA17/AZ17),BA17/AZ17," - ")</f>
        <v>1.0227272727272727</v>
      </c>
      <c r="BE17" s="127">
        <f>IF(ISNUMBER(BB17/BA17),BB17/BA17, " - ")</f>
        <v>0.22222222222222221</v>
      </c>
      <c r="BF17" s="127">
        <f>IF(ISNUMBER(BC17/BA17),BC17/BA17, " - ")</f>
        <v>0.13333333333333333</v>
      </c>
      <c r="BG17" s="196">
        <f>IF(ISNUMBER((AY17+AZ17)/BA17),(AY17+AZ17)/BA17," - ")</f>
        <v>1.2222222222222223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322</v>
      </c>
      <c r="J18" s="184">
        <f t="shared" si="15"/>
        <v>338</v>
      </c>
      <c r="K18" s="184">
        <f t="shared" si="15"/>
        <v>332</v>
      </c>
      <c r="L18" s="184">
        <f t="shared" si="15"/>
        <v>328</v>
      </c>
      <c r="M18" s="184">
        <f t="shared" si="15"/>
        <v>78</v>
      </c>
      <c r="N18" s="184">
        <f t="shared" si="15"/>
        <v>156</v>
      </c>
      <c r="O18" s="184">
        <f t="shared" si="15"/>
        <v>0</v>
      </c>
      <c r="P18" s="184">
        <f t="shared" si="15"/>
        <v>14</v>
      </c>
      <c r="Q18" s="184">
        <f t="shared" si="15"/>
        <v>15</v>
      </c>
      <c r="R18" s="184">
        <f t="shared" si="15"/>
        <v>74</v>
      </c>
      <c r="S18" s="184">
        <f t="shared" si="15"/>
        <v>240</v>
      </c>
      <c r="T18" s="184">
        <f t="shared" si="15"/>
        <v>392</v>
      </c>
      <c r="U18" s="184">
        <f t="shared" si="15"/>
        <v>375</v>
      </c>
      <c r="V18" s="184">
        <f t="shared" si="15"/>
        <v>259</v>
      </c>
      <c r="W18" s="184">
        <f t="shared" si="15"/>
        <v>47</v>
      </c>
      <c r="X18" s="184">
        <f t="shared" si="15"/>
        <v>192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240</v>
      </c>
      <c r="AZ18" s="184">
        <f>SUBTOTAL(9,AZ14:AZ17)</f>
        <v>392</v>
      </c>
      <c r="BA18" s="184">
        <f>SUBTOTAL(9,BA14:BA17)</f>
        <v>375</v>
      </c>
      <c r="BB18" s="184">
        <f>SUBTOTAL(9,BB14:BB17)</f>
        <v>259</v>
      </c>
      <c r="BC18" s="184">
        <f>SUBTOTAL(9,BC14:BC17)</f>
        <v>47</v>
      </c>
      <c r="BD18" s="205">
        <f>IF(ISNUMBER(BA18/AZ18),BA18/AZ18," - ")</f>
        <v>0.95663265306122447</v>
      </c>
      <c r="BE18" s="206">
        <f>IF(ISNUMBER(BB18/BA18),BB18/BA18, " - ")</f>
        <v>0.69066666666666665</v>
      </c>
      <c r="BF18" s="206">
        <f>IF(ISNUMBER(BC18/BA18),BC18/BA18, " - ")</f>
        <v>0.12533333333333332</v>
      </c>
      <c r="BG18" s="207">
        <f>IF(ISNUMBER((AY18+AZ18)/BA18),(AY18+AZ18)/BA18," - ")</f>
        <v>1.6853333333333333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1447</v>
      </c>
      <c r="J19" s="134">
        <f t="shared" si="18"/>
        <v>800</v>
      </c>
      <c r="K19" s="134">
        <f t="shared" si="18"/>
        <v>816</v>
      </c>
      <c r="L19" s="134">
        <f t="shared" si="18"/>
        <v>1431</v>
      </c>
      <c r="M19" s="134">
        <f t="shared" si="18"/>
        <v>274</v>
      </c>
      <c r="N19" s="134">
        <f t="shared" si="18"/>
        <v>316</v>
      </c>
      <c r="O19" s="134">
        <f t="shared" si="18"/>
        <v>219</v>
      </c>
      <c r="P19" s="134">
        <f t="shared" si="18"/>
        <v>126</v>
      </c>
      <c r="Q19" s="134">
        <f t="shared" si="18"/>
        <v>90</v>
      </c>
      <c r="R19" s="134">
        <f t="shared" si="18"/>
        <v>1236</v>
      </c>
      <c r="S19" s="134">
        <f t="shared" si="18"/>
        <v>984</v>
      </c>
      <c r="T19" s="134">
        <f t="shared" si="18"/>
        <v>877</v>
      </c>
      <c r="U19" s="134">
        <f t="shared" si="18"/>
        <v>662</v>
      </c>
      <c r="V19" s="134">
        <f t="shared" si="18"/>
        <v>1201</v>
      </c>
      <c r="W19" s="134">
        <f t="shared" si="18"/>
        <v>152</v>
      </c>
      <c r="X19" s="134">
        <f t="shared" si="18"/>
        <v>307</v>
      </c>
      <c r="Y19" s="134">
        <f t="shared" si="18"/>
        <v>27</v>
      </c>
      <c r="Z19" s="134">
        <f t="shared" si="18"/>
        <v>56</v>
      </c>
      <c r="AA19" s="134">
        <f t="shared" si="18"/>
        <v>55</v>
      </c>
      <c r="AB19" s="134">
        <f t="shared" si="18"/>
        <v>28</v>
      </c>
      <c r="AC19" s="134">
        <f t="shared" si="18"/>
        <v>0</v>
      </c>
      <c r="AD19" s="134">
        <f t="shared" si="18"/>
        <v>0</v>
      </c>
      <c r="AE19" s="134">
        <f t="shared" si="18"/>
        <v>0</v>
      </c>
      <c r="AF19" s="134">
        <f t="shared" si="18"/>
        <v>0</v>
      </c>
      <c r="AG19" s="134">
        <f t="shared" si="18"/>
        <v>19</v>
      </c>
      <c r="AH19" s="134">
        <f t="shared" si="18"/>
        <v>37</v>
      </c>
      <c r="AI19" s="134">
        <f t="shared" si="18"/>
        <v>44</v>
      </c>
      <c r="AJ19" s="134">
        <f t="shared" si="18"/>
        <v>12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1003</v>
      </c>
      <c r="AZ19" s="134">
        <f>SUBTOTAL(9,AZ9:AZ18)</f>
        <v>914</v>
      </c>
      <c r="BA19" s="134">
        <f>SUBTOTAL(9,BA9:BA18)</f>
        <v>706</v>
      </c>
      <c r="BB19" s="134">
        <f>SUBTOTAL(9,BB9:BB18)</f>
        <v>1213</v>
      </c>
      <c r="BC19" s="135">
        <f>SUBTOTAL(9,BC9:BC18)</f>
        <v>162</v>
      </c>
      <c r="BD19" s="213">
        <f>IF(ISNUMBER(BA19/AZ19),BA19/AZ19," - ")</f>
        <v>0.7724288840262582</v>
      </c>
      <c r="BE19" s="210">
        <f>IF(ISNUMBER(BB19/BA19),BB19/BA19, " - ")</f>
        <v>1.7181303116147308</v>
      </c>
      <c r="BF19" s="210">
        <f>IF(ISNUMBER(BC19/BA19),BC19/BA19, " - ")</f>
        <v>0.22946175637393768</v>
      </c>
      <c r="BG19" s="135">
        <f>IF(ISNUMBER((AY19+AZ19)/BA19),(AY19+AZ19)/BA19," - ")</f>
        <v>2.715297450424929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9XG6MPlovn+D+Mk+q1lMDtaq5xjvScIBoihDkoy5raHLqGEzMwOUw+wG4xCqyUTvBWiTDaWPe8F8n3uLSAvsw==" saltValue="5T3QXCQ0sYQU/A2tP9wm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b9LHjxB+PL4laN9NPKntuoe4HsiBFnLFo6z1vZaQ2vVDvjvqlzza0+NfdHhinJ3SzdfWqDaiHEXOgXxljEDlA==" saltValue="hlh6LOXzHF7iiabEhpWY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18</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1155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194</v>
      </c>
      <c r="BD12" s="229">
        <f>IF(ISNUMBER(Datos!N12),Datos!N12," - ")</f>
        <v>159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1.0409356725146199</v>
      </c>
      <c r="BH12" s="260">
        <f>IF(ISNUMBER(((IF(J_V="SI",Datos!L12/Datos!K12,(Datos!L12+Datos!AB12)/(Datos!K12+Datos!AA12)))*11)/factor_trimestre),((IF(J_V="SI",Datos!L12/Datos!K12,(Datos!L12+Datos!AB12)/(Datos!K12+Datos!AA12)))*11)/factor_trimestre," - ")</f>
        <v>6.2528089887640457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3.4019695613249773E-2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75</v>
      </c>
      <c r="AD13" s="899">
        <f t="shared" si="1"/>
        <v>0</v>
      </c>
      <c r="AE13" s="899">
        <f t="shared" si="1"/>
        <v>0</v>
      </c>
      <c r="AF13" s="899">
        <f t="shared" si="1"/>
        <v>18</v>
      </c>
      <c r="AG13" s="899">
        <f t="shared" si="1"/>
        <v>0</v>
      </c>
      <c r="AH13" s="899">
        <f t="shared" si="1"/>
        <v>28</v>
      </c>
      <c r="AI13" s="899">
        <f t="shared" si="1"/>
        <v>0</v>
      </c>
      <c r="AJ13" s="899">
        <f t="shared" si="1"/>
        <v>0</v>
      </c>
      <c r="AK13" s="899">
        <f t="shared" si="1"/>
        <v>0</v>
      </c>
      <c r="AL13" s="899">
        <f t="shared" si="1"/>
        <v>0</v>
      </c>
      <c r="AM13" s="899">
        <f t="shared" si="1"/>
        <v>1162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196</v>
      </c>
      <c r="BD13" s="899">
        <f t="shared" si="1"/>
        <v>160</v>
      </c>
      <c r="BE13" s="899">
        <f t="shared" si="1"/>
        <v>0</v>
      </c>
      <c r="BF13" s="899">
        <f t="shared" si="1"/>
        <v>0</v>
      </c>
      <c r="BG13" s="899">
        <f>IF(ISNUMBER(Datos!K13/Datos!J13),Datos!K13/Datos!J13," - ")</f>
        <v>1.0476190476190477</v>
      </c>
      <c r="BH13" s="903">
        <f>IF(ISNUMBER(((Datos!L13/Datos!K13)*11)/factor_trimestre),((Datos!L13/Datos!K13)*11)/factor_trimestre," - ")</f>
        <v>6.8367768595041332</v>
      </c>
      <c r="BI13" s="899">
        <f>IF(ISNUMBER('Resol  Asuntos'!D13/NºAsuntos!G13),'Resol  Asuntos'!D13/NºAsuntos!G13," - ")</f>
        <v>0.36363636363636365</v>
      </c>
      <c r="BJ13" s="899" t="str">
        <f>IF(ISNUMBER(Datos!CI13/Datos!CJ13),Datos!CI13/Datos!CJ13," - ")</f>
        <v xml:space="preserve"> - </v>
      </c>
      <c r="BK13" s="899">
        <f>SUBTOTAL(9,BK8:BK12)</f>
        <v>0</v>
      </c>
      <c r="BL13" s="899">
        <f>IF(ISNUMBER((I13-AB13+L13)/(F13)),(I13-AB13+L13)/(F13)," - ")</f>
        <v>-0.27777777777777779</v>
      </c>
      <c r="BM13" s="904">
        <f>SUBTOTAL(9,BM9:BM12)</f>
        <v>-9.0980304386750227E-2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314</v>
      </c>
      <c r="G16" s="598">
        <f>IF(ISNUMBER(IF(D_I="SI",Datos!I16,Datos!I16+Datos!AC16)),IF(D_I="SI",Datos!I16,Datos!I16+Datos!AC16)," - ")</f>
        <v>314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294</v>
      </c>
      <c r="AC16" s="226">
        <f>IF(ISNUMBER(Datos!Q16),Datos!Q16," - ")</f>
        <v>15</v>
      </c>
      <c r="AD16" s="334"/>
      <c r="AE16" s="484"/>
      <c r="AF16" s="596">
        <f>IF(ISNUMBER(IF(D_I="SI",Datos!L16,Datos!L16+Datos!AF16)),IF(D_I="SI",Datos!L16,Datos!L16+Datos!AF16)," - ")</f>
        <v>322</v>
      </c>
      <c r="AG16" s="334"/>
      <c r="AH16" s="334"/>
      <c r="AI16" s="334"/>
      <c r="AJ16" s="334"/>
      <c r="AK16" s="334"/>
      <c r="AL16" s="479"/>
      <c r="AM16" s="335">
        <f>IF(ISNUMBER(Datos!R16),Datos!R16," - ")</f>
        <v>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74</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0.97350993377483441</v>
      </c>
      <c r="BH16" s="260">
        <f>IF(ISNUMBER(((IF(D_I="SI",Datos!L16/Datos!K16,(Datos!L16+Datos!AF16)/(Datos!K16+Datos!AE16)))*11)/factor_trimestre),((IF(D_I="SI",Datos!L16/Datos!K16,(Datos!L16+Datos!AF16)/(Datos!K16+Datos!AE16)))*11)/factor_trimestre," - ")</f>
        <v>3.2857142857142865</v>
      </c>
      <c r="BI16" s="243">
        <f>IF(ISNUMBER('Resol  Asuntos'!D16/NºAsuntos!G16),'Resol  Asuntos'!D16/NºAsuntos!G16," - ")</f>
        <v>0.25170068027210885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1.0555555555555556</v>
      </c>
      <c r="BH17" s="260">
        <f>IF(ISNUMBER(((IF(D_I="SI",Datos!L17/Datos!K17,(Datos!L17+Datos!AF17)/(Datos!K17+Datos!AE17)))*11)/factor_trimestre),((IF(D_I="SI",Datos!L17/Datos!K17,(Datos!L17+Datos!AF17)/(Datos!K17+Datos!AE17)))*11)/factor_trimestre," - ")</f>
        <v>0.47368421052631576</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314</v>
      </c>
      <c r="G18" s="898">
        <f>SUBTOTAL(9,G15:G17)</f>
        <v>322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332</v>
      </c>
      <c r="AC18" s="899">
        <f t="shared" si="4"/>
        <v>15</v>
      </c>
      <c r="AD18" s="899">
        <f t="shared" si="4"/>
        <v>0</v>
      </c>
      <c r="AE18" s="899">
        <f t="shared" si="4"/>
        <v>0</v>
      </c>
      <c r="AF18" s="899">
        <f t="shared" si="4"/>
        <v>328</v>
      </c>
      <c r="AG18" s="899">
        <f t="shared" si="4"/>
        <v>0</v>
      </c>
      <c r="AH18" s="899">
        <f t="shared" si="4"/>
        <v>0</v>
      </c>
      <c r="AI18" s="899">
        <f t="shared" si="4"/>
        <v>0</v>
      </c>
      <c r="AJ18" s="899">
        <f t="shared" si="4"/>
        <v>0</v>
      </c>
      <c r="AK18" s="899">
        <f t="shared" si="4"/>
        <v>0</v>
      </c>
      <c r="AL18" s="899">
        <f t="shared" si="4"/>
        <v>0</v>
      </c>
      <c r="AM18" s="899">
        <f t="shared" si="4"/>
        <v>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156</v>
      </c>
      <c r="BE18" s="899">
        <f t="shared" si="4"/>
        <v>0</v>
      </c>
      <c r="BF18" s="899">
        <f t="shared" si="4"/>
        <v>0</v>
      </c>
      <c r="BG18" s="899">
        <f>IF(ISNUMBER(Datos!K18/Datos!J18),Datos!K18/Datos!J18," - ")</f>
        <v>0.98224852071005919</v>
      </c>
      <c r="BH18" s="903">
        <f>IF(ISNUMBER(((Datos!L18/Datos!K18)*11)/factor_trimestre),((Datos!L18/Datos!K18)*11)/factor_trimestre," - ")</f>
        <v>2.963855421686747</v>
      </c>
      <c r="BI18" s="899">
        <f>SUBTOTAL(9,BI15:BI17)</f>
        <v>0.35696383816684568</v>
      </c>
      <c r="BJ18" s="899">
        <f>SUBTOTAL(9,BJ15:BJ17)</f>
        <v>0</v>
      </c>
      <c r="BK18" s="899">
        <f>SUBTOTAL(9,BK15:BK17)</f>
        <v>0</v>
      </c>
      <c r="BL18" s="899">
        <f>IF(ISNUMBER((I18-AB18+L18)/(F18)),(I18-AB18+L18)/(F18)," - ")</f>
        <v>-1.0573248407643312</v>
      </c>
      <c r="BM18" s="905">
        <f>IF(ISNUMBER((Datos!P18-Datos!Q18)/(Datos!R18-Datos!P18+Datos!Q18)),(Datos!P18-Datos!Q18)/(Datos!R18-Datos!P18+Datos!Q18)," - ")</f>
        <v>-1.3333333333333334E-2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332</v>
      </c>
      <c r="G19" s="820">
        <f t="shared" si="6"/>
        <v>340</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126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337</v>
      </c>
      <c r="AC19" s="821">
        <f t="shared" si="7"/>
        <v>90</v>
      </c>
      <c r="AD19" s="821">
        <f t="shared" si="7"/>
        <v>0</v>
      </c>
      <c r="AE19" s="821">
        <f t="shared" si="7"/>
        <v>0</v>
      </c>
      <c r="AF19" s="828">
        <f t="shared" si="7"/>
        <v>346</v>
      </c>
      <c r="AG19" s="828">
        <f t="shared" si="7"/>
        <v>0</v>
      </c>
      <c r="AH19" s="828">
        <f t="shared" si="7"/>
        <v>28</v>
      </c>
      <c r="AI19" s="828">
        <f t="shared" si="7"/>
        <v>0</v>
      </c>
      <c r="AJ19" s="821">
        <f t="shared" si="7"/>
        <v>0</v>
      </c>
      <c r="AK19" s="828">
        <f t="shared" si="7"/>
        <v>0</v>
      </c>
      <c r="AL19" s="828">
        <f t="shared" si="7"/>
        <v>0</v>
      </c>
      <c r="AM19" s="828">
        <f t="shared" si="7"/>
        <v>1236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274</v>
      </c>
      <c r="BD19" s="820">
        <f t="shared" si="7"/>
        <v>316</v>
      </c>
      <c r="BE19" s="820">
        <f t="shared" si="7"/>
        <v>0</v>
      </c>
      <c r="BF19" s="830">
        <f t="shared" si="7"/>
        <v>0</v>
      </c>
      <c r="BG19" s="915">
        <f>IF(ISNUMBER(Datos!K19/Datos!J19),Datos!K19/Datos!J19," - ")</f>
        <v>1.02</v>
      </c>
      <c r="BH19" s="915">
        <f>IF(ISNUMBER(((Datos!L19/Datos!K19)*11)/factor_trimestre),((Datos!L19/Datos!K19)*11)/factor_trimestre," - ")</f>
        <v>5.2610294117647056</v>
      </c>
      <c r="BI19" s="813">
        <f>IF(ISNUMBER(Datos!J19/Datos!I19),Datos!J19/Datos!I19," - ")</f>
        <v>0.55286800276434001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-1.0150602409638554</v>
      </c>
      <c r="BM19" s="889">
        <f>IF(ISNUMBER((Datos!P19-Datos!Q19+R19)/(Datos!R19-Datos!P19+Datos!Q19-R19)),(Datos!P19-Datos!Q19+R19)/(Datos!R19-Datos!P19+Datos!Q19-R19)," - ")</f>
        <v>0.03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170.89567968012923</v>
      </c>
      <c r="G21" s="552">
        <f>IF(ISNUMBER(STDEV(G8:G18)),STDEV(G8:G18),"-")</f>
        <v>166.21672599350524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163.78247769526507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86.696405154231556</v>
      </c>
      <c r="BD21" s="551"/>
      <c r="BE21" s="551">
        <f>IF(ISNUMBER(STDEV(BE8:BE18)),STDEV(BE8:BE18),"-")</f>
        <v>0</v>
      </c>
      <c r="BF21" s="556">
        <f>IF(ISNUMBER(STDEV(BF8:BF18)),STDEV(BF8:BF18),"-")</f>
        <v>0</v>
      </c>
      <c r="BG21" s="775">
        <f>IF(ISNUMBER(STDEV(BG8:BG18)),STDEV(BG8:BG18),"-")</f>
        <v>3.5733086855981332E-2</v>
      </c>
      <c r="BH21" s="776">
        <f>IF(ISNUMBER(STDEV(BH8:BH18)),STDEV(BH8:BH18),"-")</f>
        <v>3.6357359377198111</v>
      </c>
      <c r="BI21" s="249">
        <f>IF(ISNUMBER(STDEV(BI8:BI18)),STDEV(BI8:BI18),"-")</f>
        <v>0.12083333772563451</v>
      </c>
      <c r="BJ21" s="230" t="str">
        <f>IF(ISNUMBER(BL21/BM21),BL21/BM21," - ")</f>
        <v xml:space="preserve"> - </v>
      </c>
      <c r="BK21" s="575"/>
      <c r="BL21" s="559">
        <f>IF(ISNUMBER(STDEV(BL8:BL18)),STDEV(BL8:BL18),"-")</f>
        <v>0.5512230144918483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nHh4+o7TDT5fnRgwK7w/N1yPNv3l8FAlDlawsGEOzRHo1qf6M0r1N44w6xgxVdTUXtkSljUyBgYyiS3dd0P9g==" saltValue="JQtpxP4/8bqhH7QfbGRY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LAREDO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18</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1155</v>
      </c>
      <c r="AF12" s="229" t="str">
        <f>IF(ISNUMBER(Datos!BV12),Datos!BV12," - ")</f>
        <v xml:space="preserve"> - </v>
      </c>
      <c r="AG12" s="225" t="str">
        <f>IF(ISNUMBER(Datos!DV12),Datos!DV12," - ")</f>
        <v xml:space="preserve"> - </v>
      </c>
      <c r="AH12" s="298"/>
      <c r="AI12" s="227"/>
      <c r="AJ12" s="225">
        <f>IF(ISNUMBER(Datos!M12),Datos!M12," - ")</f>
        <v>194</v>
      </c>
      <c r="AK12" s="229">
        <f>IF(ISNUMBER(Datos!N12),Datos!N12," - ")</f>
        <v>159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6.2528089887640457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3.4019695613249773E-2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75</v>
      </c>
      <c r="AA13" s="900">
        <f t="shared" si="2"/>
        <v>18</v>
      </c>
      <c r="AB13" s="900">
        <f t="shared" si="2"/>
        <v>0</v>
      </c>
      <c r="AC13" s="900">
        <f t="shared" si="2"/>
        <v>0</v>
      </c>
      <c r="AD13" s="900">
        <f t="shared" si="2"/>
        <v>0</v>
      </c>
      <c r="AE13" s="900">
        <f t="shared" si="2"/>
        <v>1162</v>
      </c>
      <c r="AF13" s="908">
        <f t="shared" si="2"/>
        <v>0</v>
      </c>
      <c r="AG13" s="908">
        <f t="shared" si="2"/>
        <v>0</v>
      </c>
      <c r="AH13" s="908">
        <f t="shared" si="2"/>
        <v>0</v>
      </c>
      <c r="AI13" s="908">
        <f t="shared" si="2"/>
        <v>0</v>
      </c>
      <c r="AJ13" s="908">
        <f t="shared" si="2"/>
        <v>196</v>
      </c>
      <c r="AK13" s="908">
        <f t="shared" si="2"/>
        <v>160</v>
      </c>
      <c r="AL13" s="908">
        <f t="shared" si="2"/>
        <v>0</v>
      </c>
      <c r="AM13" s="908">
        <f t="shared" si="2"/>
        <v>0</v>
      </c>
      <c r="AN13" s="908">
        <f t="shared" si="2"/>
        <v>0</v>
      </c>
      <c r="AO13" s="904">
        <f>IF(ISNUMBER(((NºAsuntos!I13/NºAsuntos!G13)*11)/factor_trimestre),((NºAsuntos!I13/NºAsuntos!G13)*11)/factor_trimestre," - ")</f>
        <v>6.2949907235621518</v>
      </c>
      <c r="AP13" s="910" t="str">
        <f>IF(ISNUMBER(Datos!CI13/Datos!CJ13),Datos!CI13/Datos!CJ13," - ")</f>
        <v xml:space="preserve"> - </v>
      </c>
      <c r="AQ13" s="928">
        <f t="shared" ref="AQ13:AV13" si="3">SUBTOTAL(9,AQ9:AQ12)</f>
        <v>0</v>
      </c>
      <c r="AR13" s="928">
        <f t="shared" si="3"/>
        <v>-9.0980304386750227E-2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314</v>
      </c>
      <c r="G16" s="225">
        <f>IF(ISNUMBER(IF(D_I="SI",Datos!I16,Datos!I16+Datos!AC16)),IF(D_I="SI",Datos!I16,Datos!I16+Datos!AC16)," - ")</f>
        <v>314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294</v>
      </c>
      <c r="Z16" s="619">
        <f>IF(ISNUMBER(Datos!Q16),Datos!Q16," - ")</f>
        <v>15</v>
      </c>
      <c r="AA16" s="332">
        <f>IF(ISNUMBER(IF(D_I="SI",Datos!L16,Datos!L16+Datos!AF16)),IF(D_I="SI",Datos!L16,Datos!L16+Datos!AF16)," - ")</f>
        <v>322</v>
      </c>
      <c r="AB16" s="334"/>
      <c r="AC16" s="334"/>
      <c r="AD16" s="484"/>
      <c r="AE16" s="484">
        <f>IF(ISNUMBER(Datos!R16),Datos!R16," - ")</f>
        <v>73</v>
      </c>
      <c r="AF16" s="229" t="str">
        <f>IF(ISNUMBER(Datos!BV16),Datos!BV16," - ")</f>
        <v xml:space="preserve"> - </v>
      </c>
      <c r="AG16" s="225"/>
      <c r="AH16" s="298"/>
      <c r="AI16" s="227"/>
      <c r="AJ16" s="225">
        <f>IF(ISNUMBER(Datos!M16),Datos!M16," - ")</f>
        <v>74</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3.2857142857142865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0.47368421052631576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314</v>
      </c>
      <c r="G18" s="898">
        <f>SUBTOTAL(9,G15:G17)</f>
        <v>322</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332</v>
      </c>
      <c r="Z18" s="932">
        <f t="shared" si="5"/>
        <v>15</v>
      </c>
      <c r="AA18" s="932">
        <f t="shared" si="5"/>
        <v>328</v>
      </c>
      <c r="AB18" s="932">
        <f t="shared" si="5"/>
        <v>0</v>
      </c>
      <c r="AC18" s="932">
        <f t="shared" si="5"/>
        <v>0</v>
      </c>
      <c r="AD18" s="932">
        <f t="shared" si="5"/>
        <v>0</v>
      </c>
      <c r="AE18" s="932">
        <f t="shared" si="5"/>
        <v>74</v>
      </c>
      <c r="AF18" s="932">
        <f t="shared" si="5"/>
        <v>0</v>
      </c>
      <c r="AG18" s="932">
        <f t="shared" si="5"/>
        <v>0</v>
      </c>
      <c r="AH18" s="932">
        <f t="shared" si="5"/>
        <v>0</v>
      </c>
      <c r="AI18" s="932">
        <f t="shared" si="5"/>
        <v>0</v>
      </c>
      <c r="AJ18" s="932">
        <f t="shared" si="5"/>
        <v>78</v>
      </c>
      <c r="AK18" s="932">
        <f t="shared" si="5"/>
        <v>156</v>
      </c>
      <c r="AL18" s="932">
        <f t="shared" si="5"/>
        <v>0</v>
      </c>
      <c r="AM18" s="932">
        <f t="shared" si="5"/>
        <v>0</v>
      </c>
      <c r="AN18" s="932">
        <f t="shared" si="5"/>
        <v>0</v>
      </c>
      <c r="AO18" s="934">
        <f>IF(ISNUMBER(((NºAsuntos!I18/NºAsuntos!G18)*11)/factor_trimestre),((NºAsuntos!I18/NºAsuntos!G18)*11)/factor_trimestre," - ")</f>
        <v>2.963855421686747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332</v>
      </c>
      <c r="G19" s="820">
        <f t="shared" si="7"/>
        <v>340</v>
      </c>
      <c r="H19" s="821">
        <f t="shared" si="7"/>
        <v>0</v>
      </c>
      <c r="I19" s="820">
        <f t="shared" si="7"/>
        <v>0</v>
      </c>
      <c r="J19" s="822">
        <f t="shared" si="7"/>
        <v>0</v>
      </c>
      <c r="K19" s="820">
        <f t="shared" si="7"/>
        <v>0</v>
      </c>
      <c r="L19" s="823">
        <f t="shared" si="7"/>
        <v>0</v>
      </c>
      <c r="M19" s="820">
        <f t="shared" si="7"/>
        <v>0</v>
      </c>
      <c r="N19" s="821">
        <f t="shared" si="7"/>
        <v>126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337</v>
      </c>
      <c r="Z19" s="827">
        <f t="shared" si="8"/>
        <v>90</v>
      </c>
      <c r="AA19" s="828">
        <f t="shared" si="8"/>
        <v>346</v>
      </c>
      <c r="AB19" s="828">
        <f t="shared" si="8"/>
        <v>0</v>
      </c>
      <c r="AC19" s="828">
        <f t="shared" si="8"/>
        <v>0</v>
      </c>
      <c r="AD19" s="829">
        <f t="shared" si="8"/>
        <v>0</v>
      </c>
      <c r="AE19" s="829">
        <f t="shared" si="8"/>
        <v>1236</v>
      </c>
      <c r="AF19" s="830">
        <f t="shared" si="8"/>
        <v>0</v>
      </c>
      <c r="AG19" s="831">
        <f t="shared" si="8"/>
        <v>0</v>
      </c>
      <c r="AH19" s="832">
        <f t="shared" si="8"/>
        <v>0</v>
      </c>
      <c r="AI19" s="830">
        <f t="shared" si="8"/>
        <v>0</v>
      </c>
      <c r="AJ19" s="820">
        <f t="shared" si="8"/>
        <v>274</v>
      </c>
      <c r="AK19" s="820">
        <f t="shared" si="8"/>
        <v>316</v>
      </c>
      <c r="AL19" s="820">
        <f t="shared" si="8"/>
        <v>0</v>
      </c>
      <c r="AM19" s="833">
        <f t="shared" si="8"/>
        <v>0</v>
      </c>
      <c r="AN19" s="823">
        <f>IF(ISNUMBER(Datos!K19/Datos!J19),Datos!K19/Datos!J19," - ")</f>
        <v>1.02</v>
      </c>
      <c r="AO19" s="823">
        <f>IF(ISNUMBER(FIND("06",Criterios!A8,1)),(IF(ISNUMBER(((Datos!R19/Datos!Q19)*11)/factor_trimestre),((Datos!R19/Datos!Q19)*11)/factor_trimestre," - ")),(IF(ISNUMBER(((Datos!L19/Datos!K19)*11)/factor_trimestre),((Datos!L19/Datos!K19)*11)/factor_trimestre," - ")))</f>
        <v>5.2610294117647056</v>
      </c>
      <c r="AP19" s="834" t="str">
        <f>IF(ISNUMBER(Datos!CI19/Datos!CJ19),Datos!CI19/Datos!CJ19," - ")</f>
        <v xml:space="preserve"> - </v>
      </c>
      <c r="AQ19" s="834">
        <f>IF(OR(ISNUMBER(FIND("01",Criterios!A8,1)),ISNUMBER(FIND("02",Criterios!A8,1)),ISNUMBER(FIND("03",Criterios!A8,1)),ISNUMBER(FIND("04",Criterios!A8,1))),(J19-Y19+K19)/(F19-K19),(I19-Y19+K19)/(F19-K19))</f>
        <v>-1.0150602409638554</v>
      </c>
      <c r="AR19" s="834">
        <f>IF(ISNUMBER((Datos!P19-Datos!Q19+O19)/(Datos!R19-Datos!P19+Datos!Q19-O19)),(Datos!P19-Datos!Q19+O19)/(Datos!R19-Datos!P19+Datos!Q19-O19)," - ")</f>
        <v>0.03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170.89567968012923</v>
      </c>
      <c r="G21" s="552">
        <f>IF(ISNUMBER(STDEV(G8:G18)),STDEV(G8:G18),"-")</f>
        <v>166.21672599350524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86.696405154231556</v>
      </c>
      <c r="AK21" s="252"/>
      <c r="AL21" s="252">
        <f>IF(ISNUMBER(STDEV(AL8:AL18)),STDEV(AL8:AL18),"-")</f>
        <v>0</v>
      </c>
      <c r="AM21" s="254">
        <f>IF(ISNUMBER(STDEV(AM8:AM18)),STDEV(AM8:AM18),"-")</f>
        <v>0</v>
      </c>
      <c r="AN21" s="539">
        <f>IF(ISNUMBER(STDEV(AN8:AN18)),STDEV(AN8:AN18),"-")</f>
        <v>0</v>
      </c>
      <c r="AO21" s="540">
        <f>IF(ISNUMBER(STDEV(AO8:AO18)),STDEV(AO8:AO18),"-")</f>
        <v>3.5904842230563268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3rkcWH6Yb+7Pxu/ulE2XskWUxHVlEc4kzMjdxYnVu2uvlCHOxzRYWWbRYmnD1bxQR4bN3sDhJOymQE/OPy+rw==" saltValue="J/7v001n/sk1DKA145tE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DVxVSvTHmLYaGm7stNCGBG5jL/eFuxFVPZ/Oy9H5OZA41uyf3j47w0SM1r2T/FvAUSh5ATXXzEzbXkBxdt0cA==" saltValue="A8kmmtKYCOjh/0O1Zby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DHLvXi7ilmMhrvK2MK5h5MSKQz3ZszH2uKOzJB8B79X0DAETW6w9rzm8pcdafe8uh1BqrQG1NgBcWDOGPv6Q==" saltValue="ecI3YzZcnHvCnUDJ7fTy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0.36363636363636365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0.25712973861329003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Qld7wu2cRNu7AuK0le0qWRloMghSvEVEcNJSl00A1bO/1i5HQtCG1lpgLxLMaoWEcxTaVE4jPf17CDot+uiwg==" saltValue="+TgSGSeAdXyUt/1ZnF+1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3EQ0Y3qe7OH+GYlDXVvojb8kLLJPe+aTZp7kKaa1Ylyt12DqTmi240M0Czg+HzM7+rl2sutF5d49lOXIHOLaw==" saltValue="MKijEI2fWoHCp3pr2/PJ4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LAREDO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5</v>
      </c>
      <c r="F10" s="404">
        <f>IF(ISNUMBER(E10/B10),E10/B10," - ")</f>
        <v>5</v>
      </c>
      <c r="G10" s="403">
        <f>IF(ISNUMBER(Datos!K10),Datos!K10," - ")</f>
        <v>5</v>
      </c>
      <c r="H10" s="404">
        <f>IF(ISNUMBER(G10/B10),G10/B10," - ")</f>
        <v>5</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1134</v>
      </c>
      <c r="D12" s="404">
        <f>IF(ISNUMBER(C12/Datos!BH12),C12/Datos!BH12," - ")</f>
        <v>567</v>
      </c>
      <c r="E12" s="403">
        <f>IF(ISNUMBER(IF(J_V="SI",Datos!J12,Datos!J12+Datos!Z12)),IF(J_V="SI",Datos!J12,Datos!J12+Datos!Z12)," - ")</f>
        <v>513</v>
      </c>
      <c r="F12" s="404">
        <f>IF(ISNUMBER(E12/B12),E12/B12," - ")</f>
        <v>256.5</v>
      </c>
      <c r="G12" s="403">
        <f>IF(ISNUMBER(IF(J_V="SI",Datos!K12,Datos!K12+Datos!AA12)),IF(J_V="SI",Datos!K12,Datos!K12+Datos!AA12)," - ")</f>
        <v>534</v>
      </c>
      <c r="H12" s="404">
        <f>IF(ISNUMBER(G12/B12),G12/B12," - ")</f>
        <v>267</v>
      </c>
      <c r="I12" s="403">
        <f>IF(ISNUMBER(IF(J_V="SI",Datos!L12,Datos!L12+Datos!AB12)),IF(J_V="SI",Datos!L12,Datos!L12+Datos!AB12)," - ")</f>
        <v>1113</v>
      </c>
      <c r="J12" s="404">
        <f>IF(ISNUMBER(I12/B12),I12/B12," - ")</f>
        <v>556.5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1152</v>
      </c>
      <c r="D13" s="850" t="str">
        <f>IF(ISNUMBER(C13/Datos!BI13),C13/Datos!BI13," - ")</f>
        <v xml:space="preserve"> - </v>
      </c>
      <c r="E13" s="849">
        <f>SUBTOTAL(9,E8:E12)</f>
        <v>518</v>
      </c>
      <c r="F13" s="850">
        <f>IF(ISNUMBER(E13/B13),E13/B13," - ")</f>
        <v>259</v>
      </c>
      <c r="G13" s="849">
        <f>SUBTOTAL(9,G8:G12)</f>
        <v>539</v>
      </c>
      <c r="H13" s="850">
        <f>IF(ISNUMBER(G13/B13),G13/B13," - ")</f>
        <v>269.5</v>
      </c>
      <c r="I13" s="849">
        <f>SUBTOTAL(9,I8:I12)</f>
        <v>1131</v>
      </c>
      <c r="J13" s="850">
        <f>IF(ISNUMBER(I13/B13),I13/B13," - ")</f>
        <v>565.5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314</v>
      </c>
      <c r="D16" s="404">
        <f>IF(ISNUMBER(C16/Datos!BH16),C16/Datos!BH16," - ")</f>
        <v>157</v>
      </c>
      <c r="E16" s="403">
        <f>IF(ISNUMBER(IF(D_I="SI",Datos!J16,Datos!J16+Datos!AD16)),IF(D_I="SI",Datos!J16,Datos!J16+Datos!AD16)," - ")</f>
        <v>302</v>
      </c>
      <c r="F16" s="404">
        <f>IF(ISNUMBER(E16/B16),E16/B16," - ")</f>
        <v>151</v>
      </c>
      <c r="G16" s="403">
        <f>IF(ISNUMBER(IF(D_I="SI",Datos!K16,Datos!K16+Datos!AE16)),IF(D_I="SI",Datos!K16,Datos!K16+Datos!AE16)," - ")</f>
        <v>294</v>
      </c>
      <c r="H16" s="404">
        <f>IF(ISNUMBER(G16/B16),G16/B16," - ")</f>
        <v>147</v>
      </c>
      <c r="I16" s="403">
        <f>IF(ISNUMBER(IF(D_I="SI",Datos!L16,Datos!L16+Datos!AF16)),IF(D_I="SI",Datos!L16,Datos!L16+Datos!AF16)," - ")</f>
        <v>322</v>
      </c>
      <c r="J16" s="404">
        <f>IF(ISNUMBER(I16/B16),I16/B16," - ")</f>
        <v>161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36</v>
      </c>
      <c r="F17" s="404">
        <f>IF(ISNUMBER(E17/B17),E17/B17," - ")</f>
        <v>36</v>
      </c>
      <c r="G17" s="403">
        <f>IF(ISNUMBER(IF(D_I="SI",Datos!K17,Datos!K17+Datos!AE17)),IF(D_I="SI",Datos!K17,Datos!K17+Datos!AE17)," - ")</f>
        <v>38</v>
      </c>
      <c r="H17" s="404">
        <f>IF(ISNUMBER(G17/B17),G17/B17," - ")</f>
        <v>38</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322</v>
      </c>
      <c r="D18" s="850" t="str">
        <f>IF(ISNUMBER(C18/Datos!BI18),C18/Datos!BI18," - ")</f>
        <v xml:space="preserve"> - </v>
      </c>
      <c r="E18" s="849">
        <f>SUBTOTAL(9,E14:E17)</f>
        <v>338</v>
      </c>
      <c r="F18" s="850">
        <f>IF(ISNUMBER(E18/B18),E18/B18," - ")</f>
        <v>169</v>
      </c>
      <c r="G18" s="849">
        <f>SUBTOTAL(9,G14:G17)</f>
        <v>332</v>
      </c>
      <c r="H18" s="850">
        <f>IF(ISNUMBER(G18/B18),G18/B18," - ")</f>
        <v>166</v>
      </c>
      <c r="I18" s="849">
        <f>SUBTOTAL(9,I14:I17)</f>
        <v>328</v>
      </c>
      <c r="J18" s="850">
        <f>IF(ISNUMBER(I18/B18),I18/B18," - ")</f>
        <v>164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1474</v>
      </c>
      <c r="D19" s="795" t="str">
        <f>IF(ISNUMBER(C19/Datos!BI19),C19/Datos!BI19," - ")</f>
        <v xml:space="preserve"> - </v>
      </c>
      <c r="E19" s="794">
        <f>SUBTOTAL(9,E9:E18)</f>
        <v>856</v>
      </c>
      <c r="F19" s="795">
        <f>IF(ISNUMBER(E19/B19),E19/B19," - ")</f>
        <v>428</v>
      </c>
      <c r="G19" s="794">
        <f>SUBTOTAL(9,G9:G18)</f>
        <v>871</v>
      </c>
      <c r="H19" s="795">
        <f>IF(ISNUMBER(G19/B19),G19/B19," - ")</f>
        <v>435.5</v>
      </c>
      <c r="I19" s="794">
        <f>SUBTOTAL(9,I9:I18)</f>
        <v>1459</v>
      </c>
      <c r="J19" s="795">
        <f>IF(ISNUMBER(I19/B19),I19/B19," - ")</f>
        <v>729.5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fkTmuPfP8mten0bLhXWvONeZDxUUBNUYZLGwKTCYUKOIteo0CUTQslJk6A4yU2hBrYufIB1SXQ6QMPYIRYA5w==" saltValue="OcsZ0Ck5uxGXe4t6itYF0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LAREDO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194</v>
      </c>
      <c r="AM12" s="690">
        <f>IF(ISNUMBER(Datos!N12+DatosP!N16),Datos!N12+DatosP!N16," - ")</f>
        <v>159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6.2528089887640457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3.4019695613249773E-2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74</v>
      </c>
      <c r="AE13" s="939">
        <f t="shared" si="1"/>
        <v>0</v>
      </c>
      <c r="AF13" s="939">
        <f t="shared" si="1"/>
        <v>18</v>
      </c>
      <c r="AG13" s="939">
        <f t="shared" si="1"/>
        <v>0</v>
      </c>
      <c r="AH13" s="939">
        <f t="shared" si="1"/>
        <v>1155</v>
      </c>
      <c r="AI13" s="939">
        <f t="shared" si="1"/>
        <v>0</v>
      </c>
      <c r="AJ13" s="939">
        <f t="shared" si="1"/>
        <v>0</v>
      </c>
      <c r="AK13" s="939">
        <f t="shared" si="1"/>
        <v>0</v>
      </c>
      <c r="AL13" s="939">
        <f t="shared" si="1"/>
        <v>196</v>
      </c>
      <c r="AM13" s="939">
        <f t="shared" si="1"/>
        <v>160</v>
      </c>
      <c r="AN13" s="939">
        <f t="shared" si="1"/>
        <v>0</v>
      </c>
      <c r="AO13" s="939">
        <f t="shared" si="1"/>
        <v>0</v>
      </c>
      <c r="AP13" s="944">
        <f>IF(ISNUMBER(((Datos!L13/Datos!K13)*11)/factor_trimestre),((Datos!L13/Datos!K13)*11)/factor_trimestre," - ")</f>
        <v>6.8367768595041332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-0.27777777777777779</v>
      </c>
      <c r="AU13" s="939" t="str">
        <f>IF(ISNUMBER((DatosP!#REF!-DatosP!#REF!+DatosP!#REF!)/(DatosP!#REF!+DatosP!#REF!-DatosP!#REF!-DatosP!#REF!)),(DatosP!#REF!-DatosP!#REF!+DatosP!#REF!)/(DatosP!#REF!+DatosP!#REF!-DatosP!#REF!-DatosP!#REF!)," - ")</f>
        <v xml:space="preserve"> - </v>
      </c>
      <c r="AV13" s="945">
        <f>SUBTOTAL(9,AV9:AV12)</f>
        <v>3.4019695613249773E-2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2.963855421686747</v>
      </c>
      <c r="AQ18" s="944">
        <f>IF(ISNUMBER(((Datos!M18/Datos!L18)*11)/factor_trimestre),((Datos!M18/Datos!L18)*11)/factor_trimestre," - ")</f>
        <v>0.71341463414634143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-1.3333333333333334E-2</v>
      </c>
      <c r="AW18" s="946">
        <f>IF(ISNUMBER((Datos!Q18-Datos!R18)/(Datos!S18-Datos!Q18+Datos!R18)),(Datos!Q18-Datos!R18)/(Datos!S18-Datos!Q18+Datos!R18)," - ")</f>
        <v>-0.19732441471571907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74</v>
      </c>
      <c r="AE19" s="957">
        <f t="shared" si="5"/>
        <v>0</v>
      </c>
      <c r="AF19" s="958">
        <f t="shared" si="5"/>
        <v>18</v>
      </c>
      <c r="AG19" s="958">
        <f t="shared" si="5"/>
        <v>0</v>
      </c>
      <c r="AH19" s="958">
        <f t="shared" si="5"/>
        <v>1155</v>
      </c>
      <c r="AI19" s="958">
        <f t="shared" si="5"/>
        <v>0</v>
      </c>
      <c r="AJ19" s="959">
        <f t="shared" si="5"/>
        <v>0</v>
      </c>
      <c r="AK19" s="959">
        <f t="shared" si="5"/>
        <v>0</v>
      </c>
      <c r="AL19" s="951">
        <f t="shared" si="5"/>
        <v>196</v>
      </c>
      <c r="AM19" s="951">
        <f t="shared" si="5"/>
        <v>160</v>
      </c>
      <c r="AN19" s="951">
        <f t="shared" si="5"/>
        <v>0</v>
      </c>
      <c r="AO19" s="951">
        <f t="shared" si="5"/>
        <v>0</v>
      </c>
      <c r="AP19" s="951">
        <f>IF(ISNUMBER(((Datos!L19/Datos!K19)*11)/factor_trimestre),((Datos!L19/Datos!K19)*11)/factor_trimestre," - ")</f>
        <v>5.2610294117647056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0.03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112.01190412927845</v>
      </c>
      <c r="AM21" s="736"/>
      <c r="AN21" s="736">
        <f>IF(ISNUMBER(STDEV(AN8:AN18)),STDEV(AN8:AN18),"-")</f>
        <v>0</v>
      </c>
      <c r="AO21" s="742">
        <f>IF(ISNUMBER(STDEV(AO8:AO18)),STDEV(AO8:AO18),"-")</f>
        <v>0</v>
      </c>
      <c r="AP21" s="779">
        <f>IF(ISNUMBER(STDEV(AP8:AP18)),STDEV(AP8:AP18),"-")</f>
        <v>3.2138632011724857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FE8VsN+MhhxspwASd2fcw2DC4+yFOstSCklRSWSMcSPb8x306w7B1PuIEqR9VYftncmjUsCWTfdWUZuNPB+nA==" saltValue="7YbeH4FxLlCTv1uVXyPG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LAREDO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9zHI45tGjXkXR63+TdiGA4dPuAteUhDup9wg5NuM8zJufJfl2o2VT3XccJ1yP9vM7kke60+0HV8eSrZpnPYPA==" saltValue="xdXjuLr3vvCmvJSd8KRk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LAREDO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194</v>
      </c>
      <c r="E12" s="404">
        <f t="shared" si="0"/>
        <v>97</v>
      </c>
      <c r="F12" s="403">
        <f>IF(ISNUMBER(Datos!N12),Datos!N12," - ")</f>
        <v>159</v>
      </c>
      <c r="G12" s="404">
        <f t="shared" si="1"/>
        <v>79.5</v>
      </c>
      <c r="H12" s="403">
        <f>IF(ISNUMBER(Datos!O12),Datos!O12," - ")</f>
        <v>217</v>
      </c>
      <c r="I12" s="404">
        <f t="shared" si="2"/>
        <v>108.5</v>
      </c>
      <c r="BZ12" s="1186">
        <f>Datos!EZ12</f>
        <v>0</v>
      </c>
    </row>
    <row r="13" spans="1:78" ht="14.25" thickTop="1" thickBot="1">
      <c r="A13" s="848" t="str">
        <f>Datos!A13</f>
        <v>TOTAL</v>
      </c>
      <c r="B13" s="849">
        <f>Datos!AP13</f>
        <v>2</v>
      </c>
      <c r="C13" s="851">
        <f>Datos!AR13</f>
        <v>2</v>
      </c>
      <c r="D13" s="849">
        <f>SUBTOTAL(9,D9:D12)</f>
        <v>196</v>
      </c>
      <c r="E13" s="850">
        <f t="shared" si="0"/>
        <v>98</v>
      </c>
      <c r="F13" s="849">
        <f>SUBTOTAL(9,F9:F12)</f>
        <v>160</v>
      </c>
      <c r="G13" s="850">
        <f t="shared" si="1"/>
        <v>80</v>
      </c>
      <c r="H13" s="849">
        <f>SUBTOTAL(9,H9:H12)</f>
        <v>219</v>
      </c>
      <c r="I13" s="850">
        <f>IF(ISNUMBER(H13/B13),H13/B13," - ")</f>
        <v>109.5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74</v>
      </c>
      <c r="E16" s="404">
        <f t="shared" si="3"/>
        <v>37</v>
      </c>
      <c r="F16" s="403">
        <f>IF(ISNUMBER(Datos!N16),Datos!N16," - ")</f>
        <v>130</v>
      </c>
      <c r="G16" s="404">
        <f t="shared" si="4"/>
        <v>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156</v>
      </c>
      <c r="G18" s="850">
        <f t="shared" si="4"/>
        <v>78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274</v>
      </c>
      <c r="E19" s="795">
        <f>IF(ISNUMBER(D19/B19),D19/B19," - ")</f>
        <v>137</v>
      </c>
      <c r="F19" s="794">
        <f>SUBTOTAL(9,F8:F18)</f>
        <v>316</v>
      </c>
      <c r="G19" s="795">
        <f>IF(ISNUMBER(F19/B19),F19/B19," - ")</f>
        <v>158</v>
      </c>
      <c r="H19" s="794">
        <f>SUBTOTAL(9,H8:H18)</f>
        <v>219</v>
      </c>
      <c r="I19" s="795">
        <f>IF(ISNUMBER(H19/B19),H19/B19," - ")</f>
        <v>109.5</v>
      </c>
    </row>
    <row r="22" spans="1:78">
      <c r="A22" s="391" t="str">
        <f>Criterios!A4</f>
        <v>Fecha Informe: 24 sep. 2024</v>
      </c>
    </row>
    <row r="27" spans="1:78">
      <c r="A27" s="414"/>
    </row>
  </sheetData>
  <sheetProtection algorithmName="SHA-512" hashValue="1C7MOYFw74qKdOP9yypgbm0DuZa3oPVbmYVtX7PboiEoZclrm57NR+Jq2ddAU5EQ8o7w3MDw+FaqygETrka5zQ==" saltValue="57fyEiaoYw+ku4TVgVY5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LAREDO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74</v>
      </c>
      <c r="D12" s="408">
        <f>IF(ISNUMBER(Datos!R12),Datos!R12," - ")</f>
        <v>1155</v>
      </c>
    </row>
    <row r="13" spans="1:4" ht="14.25" thickTop="1" thickBot="1">
      <c r="A13" s="848" t="str">
        <f>Datos!A13</f>
        <v>TOTAL</v>
      </c>
      <c r="B13" s="849">
        <f>SUBTOTAL(9,B9:B12)</f>
        <v>112</v>
      </c>
      <c r="C13" s="853">
        <f>SUBTOTAL(9,C9:C12)</f>
        <v>75</v>
      </c>
      <c r="D13" s="851">
        <f>SUBTOTAL(9,D9:D12)</f>
        <v>1162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15</v>
      </c>
      <c r="D16" s="408">
        <f>IF(ISNUMBER(Datos!R16),Datos!R16," - ")</f>
        <v>73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14</v>
      </c>
      <c r="C18" s="853">
        <f>SUBTOTAL(9,C15:C17)</f>
        <v>15</v>
      </c>
      <c r="D18" s="851">
        <f>SUBTOTAL(9,D15:D17)</f>
        <v>74</v>
      </c>
    </row>
    <row r="19" spans="1:4" ht="16.5" customHeight="1" thickTop="1" thickBot="1">
      <c r="A19" s="793" t="str">
        <f>Datos!A19</f>
        <v>TOTAL JURISDICCIONES</v>
      </c>
      <c r="B19" s="798">
        <f>SUBTOTAL(9,B8:B18)</f>
        <v>126</v>
      </c>
      <c r="C19" s="799">
        <f>SUBTOTAL(9,C8:C18)</f>
        <v>90</v>
      </c>
      <c r="D19" s="800">
        <f>SUBTOTAL(9,D8:D18)</f>
        <v>1236</v>
      </c>
    </row>
    <row r="20" spans="1:4" ht="7.5" customHeight="1"/>
    <row r="21" spans="1:4" ht="6" customHeight="1"/>
    <row r="22" spans="1:4">
      <c r="A22" s="391" t="str">
        <f>Criterios!A4</f>
        <v>Fecha Informe: 24 sep. 2024</v>
      </c>
    </row>
    <row r="27" spans="1:4">
      <c r="A27" s="414"/>
    </row>
  </sheetData>
  <sheetProtection algorithmName="SHA-512" hashValue="Czqfncur4/DzCoZ74ws4FjHa3Onc4R2b54Uc8V1+YHxcwvEGuxgSKq6TT7/ZSDhDqCCCetBRFgAZ5/0LipRFjA==" saltValue="QrBNKDAyQRMgM1Eltptp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LAREDO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0.25</v>
      </c>
      <c r="E10" s="456">
        <f>IF(ISNUMBER((Datos!L10-Datos!V10)/Datos!V10),(Datos!L10-Datos!V10)/Datos!V10," - ")</f>
        <v>0.38461538461538464</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0.24999999999999994</v>
      </c>
      <c r="I10" s="456">
        <f>IF(ISNUMBER(((NºAsuntos!I10/NºAsuntos!G10)-Datos!BE10)/Datos!BE10),((NºAsuntos!I10/NºAsuntos!G10)-Datos!BE10)/Datos!BE10," - ")</f>
        <v>0.10769230769230773</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8.2352941176470504E-2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0.50998668442077233</v>
      </c>
      <c r="C12" s="456">
        <f>IF(ISNUMBER(
   IF(J_V="SI",(Datos!J12-Datos!T12)/Datos!T12,(Datos!J12+Datos!Z12-(Datos!T12+Datos!AH12))/(Datos!T12+Datos!AH12))
     ),IF(J_V="SI",(Datos!J12-Datos!T12)/Datos!T12,(Datos!J12+Datos!Z12-(Datos!T12+Datos!AH12))/(Datos!T12+Datos!AH12))," - ")</f>
        <v>-7.7369439071566732E-3</v>
      </c>
      <c r="D12" s="456">
        <f>IF(ISNUMBER(
   IF(J_V="SI",(Datos!K12-Datos!U12)/Datos!U12,(Datos!K12+Datos!AA12-(Datos!U12+Datos!AI12))/(Datos!U12+Datos!AI12))
     ),IF(J_V="SI",(Datos!K12-Datos!U12)/Datos!U12,(Datos!K12+Datos!AA12-(Datos!U12+Datos!AI12))/(Datos!U12+Datos!AI12))," - ")</f>
        <v>0.6330275229357798</v>
      </c>
      <c r="E12" s="456">
        <f>IF(ISNUMBER(
   IF(J_V="SI",(Datos!L12-Datos!V12)/Datos!V12,(Datos!L12+Datos!AB12-(Datos!V12+Datos!AJ12))/(Datos!V12+Datos!AJ12))
     ),IF(J_V="SI",(Datos!L12-Datos!V12)/Datos!V12,(Datos!L12+Datos!AB12-(Datos!V12+Datos!AJ12))/(Datos!V12+Datos!AJ12))," - ")</f>
        <v>0.18278427205100956</v>
      </c>
      <c r="F12" s="456">
        <f>IF(ISNUMBER((Datos!M12-Datos!W12)/Datos!W12),(Datos!M12-Datos!W12)/Datos!W12," - ")</f>
        <v>0.88349514563106801</v>
      </c>
      <c r="G12" s="457">
        <f>IF(ISNUMBER((Datos!N12-Datos!X12)/Datos!X12),(Datos!N12-Datos!X12)/Datos!X12," - ")</f>
        <v>0.40707964601769914</v>
      </c>
      <c r="H12" s="455">
        <f>IF(ISNUMBER(((NºAsuntos!G12/NºAsuntos!E12)-Datos!BD12)/Datos!BD12),((NºAsuntos!G12/NºAsuntos!E12)-Datos!BD12)/Datos!BD12," - ")</f>
        <v>0.64576068100935324</v>
      </c>
      <c r="I12" s="456">
        <f>IF(ISNUMBER(((NºAsuntos!I12/NºAsuntos!G12)-Datos!BE12)/Datos!BE12),((NºAsuntos!I12/NºAsuntos!G12)-Datos!BE12)/Datos!BE12," - ")</f>
        <v>-0.27571075475528067</v>
      </c>
      <c r="J12" s="461">
        <f>IF(ISNUMBER((('Resol  Asuntos'!D12/NºAsuntos!G12)-Datos!BF12)/Datos!BF12),(('Resol  Asuntos'!D12/NºAsuntos!G12)-Datos!BF12)/Datos!BF12," - ")</f>
        <v>5.1307546982201448E-2</v>
      </c>
      <c r="K12" s="462">
        <f>IF(ISNUMBER((((NºAsuntos!C12+NºAsuntos!E12)/NºAsuntos!G12)-Datos!BG12)/Datos!BG12),(((NºAsuntos!C12+NºAsuntos!E12)/NºAsuntos!G12)-Datos!BG12)/Datos!BG12," - ")</f>
        <v>-0.20460869102895829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0.509829619921363</v>
      </c>
      <c r="C13" s="855">
        <f>IF(ISNUMBER(
   IF(J_V="SI",(Datos!J13-Datos!T13)/Datos!T13,(Datos!J13+Datos!Z13-(Datos!T13+Datos!AH13))/(Datos!T13+Datos!AH13))
     ),IF(J_V="SI",(Datos!J13-Datos!T13)/Datos!T13,(Datos!J13+Datos!Z13-(Datos!T13+Datos!AH13))/(Datos!T13+Datos!AH13))," - ")</f>
        <v>-7.6628352490421452E-3</v>
      </c>
      <c r="D13" s="855">
        <f>IF(ISNUMBER(
   IF(J_V="SI",(Datos!K13-Datos!U13)/Datos!U13,(Datos!K13+Datos!AA13-(Datos!U13+Datos!AI13))/(Datos!U13+Datos!AI13))
     ),IF(J_V="SI",(Datos!K13-Datos!U13)/Datos!U13,(Datos!K13+Datos!AA13-(Datos!U13+Datos!AI13))/(Datos!U13+Datos!AI13))," - ")</f>
        <v>0.62839879154078548</v>
      </c>
      <c r="E13" s="855">
        <f>IF(ISNUMBER(
   IF(J_V="SI",(Datos!L13-Datos!V13)/Datos!V13,(Datos!L13+Datos!AB13-(Datos!V13+Datos!AJ13))/(Datos!V13+Datos!AJ13))
     ),IF(J_V="SI",(Datos!L13-Datos!V13)/Datos!V13,(Datos!L13+Datos!AB13-(Datos!V13+Datos!AJ13))/(Datos!V13+Datos!AJ13))," - ")</f>
        <v>0.18553459119496854</v>
      </c>
      <c r="F13" s="856">
        <f>IF(ISNUMBER((Datos!M13-Datos!W13)/Datos!W13),(Datos!M13-Datos!W13)/Datos!W13," - ")</f>
        <v>0.8666666666666667</v>
      </c>
      <c r="G13" s="857">
        <f>IF(ISNUMBER((Datos!N13-Datos!X13)/Datos!X13),(Datos!N13-Datos!X13)/Datos!X13," - ")</f>
        <v>0.39130434782608697</v>
      </c>
      <c r="H13" s="857">
        <f>IF(ISNUMBER(((NºAsuntos!G13/NºAsuntos!E13)-Datos!BD13)/Datos!BD13),((NºAsuntos!G13/NºAsuntos!E13)-Datos!BD13)/Datos!BD13," - ")</f>
        <v>0.64097329958357152</v>
      </c>
      <c r="I13" s="857">
        <f>IF(ISNUMBER(((NºAsuntos!I13/NºAsuntos!G13)-Datos!BE13)/Datos!BE13),((NºAsuntos!I13/NºAsuntos!G13)-Datos!BE13)/Datos!BE13," - ")</f>
        <v>-0.2719629875964108</v>
      </c>
      <c r="J13" s="857">
        <f>IF(ISNUMBER((('Resol  Asuntos'!D13/NºAsuntos!G13)-Datos!BF13)/Datos!BF13),(('Resol  Asuntos'!D13/NºAsuntos!G13)-Datos!BF13)/Datos!BF13," - ")</f>
        <v>4.6640316205533647E-2</v>
      </c>
      <c r="K13" s="857">
        <f>IF(ISNUMBER((((NºAsuntos!C13+NºAsuntos!E13)/NºAsuntos!G13)-Datos!BG13)/Datos!BG13),(((NºAsuntos!C13+NºAsuntos!E13)/NºAsuntos!G13)-Datos!BG13)/Datos!BG13," - ")</f>
        <v>-0.20190870830114857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0.37117903930131002</v>
      </c>
      <c r="C16" s="456">
        <f>IF(ISNUMBER(
   IF(D_I="SI",(Datos!J16-Datos!T16)/Datos!T16,(Datos!J16+Datos!AD16-(Datos!T16+Datos!AL16))/(Datos!T16+Datos!AL16))
     ),IF(D_I="SI",(Datos!J16-Datos!T16)/Datos!T16,(Datos!J16+Datos!AD16-(Datos!T16+Datos!AL16))/(Datos!T16+Datos!AL16))," - ")</f>
        <v>-0.13218390804597702</v>
      </c>
      <c r="D16" s="456">
        <f>IF(ISNUMBER(
   IF(D_I="SI",(Datos!K16-Datos!U16)/Datos!U16,(Datos!K16+Datos!AE16-(Datos!U16+Datos!AM16))/(Datos!U16+Datos!AM16))
     ),IF(D_I="SI",(Datos!K16-Datos!U16)/Datos!U16,(Datos!K16+Datos!AE16-(Datos!U16+Datos!AM16))/(Datos!U16+Datos!AM16))," - ")</f>
        <v>-0.10909090909090909</v>
      </c>
      <c r="E16" s="456">
        <f>IF(ISNUMBER(
   IF(D_I="SI",(Datos!L16-Datos!V16)/Datos!V16,(Datos!L16+Datos!AF16-(Datos!V16+Datos!AN16))/(Datos!V16+Datos!AN16))
     ),IF(D_I="SI",(Datos!L16-Datos!V16)/Datos!V16,(Datos!L16+Datos!AF16-(Datos!V16+Datos!AN16))/(Datos!V16+Datos!AN16))," - ")</f>
        <v>0.29317269076305219</v>
      </c>
      <c r="F16" s="456">
        <f>IF(ISNUMBER((Datos!M16-Datos!W16)/Datos!W16),(Datos!M16-Datos!W16)/Datos!W16," - ")</f>
        <v>0.80487804878048785</v>
      </c>
      <c r="G16" s="457">
        <f>IF(ISNUMBER((Datos!N16-Datos!X16)/Datos!X16),(Datos!N16-Datos!X16)/Datos!X16," - ")</f>
        <v>-0.19254658385093168</v>
      </c>
      <c r="H16" s="455">
        <f>IF(ISNUMBER(((NºAsuntos!G16/NºAsuntos!E16)-Datos!BD16)/Datos!BD16),((NºAsuntos!G16/NºAsuntos!E16)-Datos!BD16)/Datos!BD16," - ")</f>
        <v>2.66104756170981E-2</v>
      </c>
      <c r="I16" s="456">
        <f>IF(ISNUMBER(((NºAsuntos!I16/NºAsuntos!G16)-Datos!BE16)/Datos!BE16),((NºAsuntos!I16/NºAsuntos!G16)-Datos!BE16)/Datos!BE16," - ")</f>
        <v>0.45152036718301797</v>
      </c>
      <c r="J16" s="461">
        <f>IF(ISNUMBER((('Resol  Asuntos'!D16/NºAsuntos!G16)-Datos!BF16)/Datos!BF16),(('Resol  Asuntos'!D16/NºAsuntos!G16)-Datos!BF16)/Datos!BF16," - ")</f>
        <v>1.025883524141364</v>
      </c>
      <c r="K16" s="462">
        <f>IF(ISNUMBER((((NºAsuntos!C16+NºAsuntos!E16)/NºAsuntos!G16)-Datos!BG16)/Datos!BG16),(((NºAsuntos!C16+NºAsuntos!E16)/NºAsuntos!G16)-Datos!BG16)/Datos!BG16," - ")</f>
        <v>0.19831641495419661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-0.18181818181818182</v>
      </c>
      <c r="D17" s="456">
        <f>IF(ISNUMBER(
   IF(D_I="SI",(Datos!K17-Datos!U17)/Datos!U17,(Datos!K17+Datos!AE17-(Datos!U17+Datos!AM17))/(Datos!U17+Datos!AM17))
     ),IF(D_I="SI",(Datos!K17-Datos!U17)/Datos!U17,(Datos!K17+Datos!AE17-(Datos!U17+Datos!AM17))/(Datos!U17+Datos!AM17))," - ")</f>
        <v>-0.15555555555555556</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-0.33333333333333331</v>
      </c>
      <c r="G17" s="457">
        <f>IF(ISNUMBER((Datos!N17-Datos!X17)/Datos!X17),(Datos!N17-Datos!X17)/Datos!X17," - ")</f>
        <v>-0.16129032258064516</v>
      </c>
      <c r="H17" s="455">
        <f>IF(ISNUMBER(((NºAsuntos!G17/NºAsuntos!E17)-Datos!BD17)/Datos!BD17),((NºAsuntos!G17/NºAsuntos!E17)-Datos!BD17)/Datos!BD17," - ")</f>
        <v>3.2098765432098809E-2</v>
      </c>
      <c r="I17" s="456">
        <f>IF(ISNUMBER(((NºAsuntos!I17/NºAsuntos!G17)-Datos!BE17)/Datos!BE17),((NºAsuntos!I17/NºAsuntos!G17)-Datos!BE17)/Datos!BE17," - ")</f>
        <v>-0.28947368421052633</v>
      </c>
      <c r="J17" s="461">
        <f>IF(ISNUMBER((('Resol  Asuntos'!D17/NºAsuntos!G17)-Datos!BF17)/Datos!BF17),(('Resol  Asuntos'!D17/NºAsuntos!G17)-Datos!BF17)/Datos!BF17," - ")</f>
        <v>-0.21052631578947373</v>
      </c>
      <c r="K17" s="462">
        <f>IF(ISNUMBER((((NºAsuntos!C17+NºAsuntos!E17)/NºAsuntos!G17)-Datos!BG17)/Datos!BG17),(((NºAsuntos!C17+NºAsuntos!E17)/NºAsuntos!G17)-Datos!BG17)/Datos!BG17," - ")</f>
        <v>-5.263157894736846E-2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0.34166666666666667</v>
      </c>
      <c r="C18" s="855">
        <f>IF(ISNUMBER(
   IF(Criterios!B14="SI",(Datos!J18-Datos!T18)/Datos!T18,(Datos!J18+Datos!AD18-(Datos!T18+Datos!AL18))/(Datos!T18+Datos!AL18))
     ),IF(Criterios!B14="SI",(Datos!J18-Datos!T18)/Datos!T18,(Datos!J18+Datos!AD18-(Datos!T18+Datos!AL18))/(Datos!T18+Datos!AL18))," - ")</f>
        <v>-0.13775510204081631</v>
      </c>
      <c r="D18" s="855">
        <f>IF(ISNUMBER(
   IF(Criterios!B14="SI",(Datos!K18-Datos!U18)/Datos!U18,(Datos!K18+Datos!AE18-(Datos!U18+Datos!AM18))/(Datos!U18+Datos!AM18))
     ),IF(Criterios!B14="SI",(Datos!K18-Datos!U18)/Datos!U18,(Datos!K18+Datos!AE18-(Datos!U18+Datos!AM18))/(Datos!U18+Datos!AM18))," - ")</f>
        <v>-0.11466666666666667</v>
      </c>
      <c r="E18" s="855">
        <f>IF(ISNUMBER(
   IF(Criterios!B14="SI",(Datos!L18-Datos!V18)/Datos!V18,(Datos!L18+Datos!AF18-(Datos!V18+Datos!AN18))/(Datos!V18+Datos!AN18))
     ),IF(Criterios!B14="SI",(Datos!L18-Datos!V18)/Datos!V18,(Datos!L18+Datos!AF18-(Datos!V18+Datos!AN18))/(Datos!V18+Datos!AN18))," - ")</f>
        <v>0.26640926640926643</v>
      </c>
      <c r="F18" s="856">
        <f>IF(ISNUMBER((Datos!M18-Datos!W18)/Datos!W18),(Datos!M18-Datos!W18)/Datos!W18," - ")</f>
        <v>0.65957446808510634</v>
      </c>
      <c r="G18" s="857">
        <f>IF(ISNUMBER((Datos!N18-Datos!X18)/Datos!X18),(Datos!N18-Datos!X18)/Datos!X18," - ")</f>
        <v>-0.1875</v>
      </c>
      <c r="H18" s="857">
        <f>IF(ISNUMBER(((NºAsuntos!G18/NºAsuntos!E18)-Datos!BD18)/Datos!BD18),((NºAsuntos!G18/NºAsuntos!E18)-Datos!BD18)/Datos!BD18," - ")</f>
        <v>2.6777120315581899E-2</v>
      </c>
      <c r="I18" s="857">
        <f>IF(ISNUMBER(((NºAsuntos!I18/NºAsuntos!G18)-Datos!BE18)/Datos!BE18),((NºAsuntos!I18/NºAsuntos!G18)-Datos!BE18)/Datos!BE18," - ")</f>
        <v>0.43043215332371959</v>
      </c>
      <c r="J18" s="857">
        <f>IF(ISNUMBER((('Resol  Asuntos'!D18/NºAsuntos!G18)-Datos!BF18)/Datos!BF18),(('Resol  Asuntos'!D18/NºAsuntos!G18)-Datos!BF18)/Datos!BF18," - ")</f>
        <v>0.87451935401179204</v>
      </c>
      <c r="K18" s="857">
        <f>IF(ISNUMBER((((NºAsuntos!C18+NºAsuntos!E18)/NºAsuntos!G18)-Datos!BG18)/Datos!BG18),(((NºAsuntos!C18+NºAsuntos!E18)/NºAsuntos!G18)-Datos!BG18)/Datos!BG18," - ")</f>
        <v>0.17956001220070159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0.46959122632103689</v>
      </c>
      <c r="C19" s="802">
        <f>IF(ISNUMBER(
   IF(J_V="SI",(Datos!J19-Datos!T19)/Datos!T19,(Datos!J19+Datos!Z19-(Datos!T19+Datos!AH19))/(Datos!T19+Datos!AH19))
     ),IF(J_V="SI",(Datos!J19-Datos!T19)/Datos!T19,(Datos!J19+Datos!Z19-(Datos!T19+Datos!AH19))/(Datos!T19+Datos!AH19))," - ")</f>
        <v>-6.3457330415754923E-2</v>
      </c>
      <c r="D19" s="802">
        <f>IF(ISNUMBER(
   IF(J_V="SI",(Datos!K19-Datos!U19)/Datos!U19,(Datos!K19+Datos!AA19-(Datos!U19+Datos!AI19))/(Datos!U19+Datos!AI19))
     ),IF(J_V="SI",(Datos!K19-Datos!U19)/Datos!U19,(Datos!K19+Datos!AA19-(Datos!U19+Datos!AI19))/(Datos!U19+Datos!AI19))," - ")</f>
        <v>0.23371104815864022</v>
      </c>
      <c r="E19" s="802">
        <f>IF(ISNUMBER(
   IF(J_V="SI",(Datos!L19-Datos!V19)/Datos!V19,(Datos!L19+Datos!AB19-(Datos!V19+Datos!AJ19))/(Datos!V19+Datos!AJ19))
     ),IF(J_V="SI",(Datos!L19-Datos!V19)/Datos!V19,(Datos!L19+Datos!AB19-(Datos!V19+Datos!AJ19))/(Datos!V19+Datos!AJ19))," - ")</f>
        <v>0.20280296784830998</v>
      </c>
      <c r="F19" s="803">
        <f>IF(ISNUMBER((Datos!M19-Datos!W19)/Datos!W19),(Datos!M19-Datos!W19)/Datos!W19," - ")</f>
        <v>0.80263157894736847</v>
      </c>
      <c r="G19" s="804">
        <f>IF(ISNUMBER((Datos!N19-Datos!X19)/Datos!X19),(Datos!N19-Datos!X19)/Datos!X19," - ")</f>
        <v>2.9315960912052116E-2</v>
      </c>
      <c r="H19" s="805">
        <f>IF(ISNUMBER((Tasas!B19-Datos!BD19)/Datos!BD19),(Tasas!B19-Datos!BD19)/Datos!BD19," - ")</f>
        <v>0.31730361917873506</v>
      </c>
      <c r="I19" s="806">
        <f>IF(ISNUMBER((Tasas!C19-Datos!BE19)/Datos!BE19),(Tasas!C19-Datos!BE19)/Datos!BE19," - ")</f>
        <v>-2.5052933064400859E-2</v>
      </c>
      <c r="J19" s="807">
        <f>IF(ISNUMBER((Tasas!D19-Datos!BF19)/Datos!BF19),(Tasas!D19-Datos!BF19)/Datos!BF19," - ")</f>
        <v>0.37095151025499284</v>
      </c>
      <c r="K19" s="807">
        <f>IF(ISNUMBER((Tasas!E19-Datos!BG19)/Datos!BG19),(Tasas!E19-Datos!BG19)/Datos!BG19," - ")</f>
        <v>-1.4809185084568582E-2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uR5Oq3d4W+t63tud2Ly0+QeNzIHdc385c7Guubc8zR8gDxyio+X8rrrF63/hONmlGkwxxEldru0m1988Z3DkQ==" saltValue="RKHEu6wF3hLmHfAPzYp2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LAREDO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3.6</v>
      </c>
      <c r="D10" s="444">
        <f>IF(ISNUMBER('Resol  Asuntos'!D10/NºAsuntos!G10),'Resol  Asuntos'!D10/NºAsuntos!G10," - ")</f>
        <v>0.4</v>
      </c>
      <c r="E10" s="445">
        <f>IF(ISNUMBER((NºAsuntos!C10+NºAsuntos!E10)/NºAsuntos!G10),(NºAsuntos!C10+NºAsuntos!E10)/NºAsuntos!G10," - ")</f>
        <v>4.5999999999999996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1.0409356725146199</v>
      </c>
      <c r="C12" s="443">
        <f>IF(ISNUMBER(NºAsuntos!I12/NºAsuntos!G12),NºAsuntos!I12/NºAsuntos!G12," - ")</f>
        <v>2.0842696629213484</v>
      </c>
      <c r="D12" s="444">
        <f>IF(ISNUMBER('Resol  Asuntos'!D12/NºAsuntos!G12),'Resol  Asuntos'!D12/NºAsuntos!G12," - ")</f>
        <v>0.36329588014981273</v>
      </c>
      <c r="E12" s="445">
        <f>IF(ISNUMBER((NºAsuntos!C12+NºAsuntos!E12)/NºAsuntos!G12),(NºAsuntos!C12+NºAsuntos!E12)/NºAsuntos!G12," - ")</f>
        <v>3.0842696629213484</v>
      </c>
      <c r="G12" s="463"/>
    </row>
    <row r="13" spans="1:7" ht="14.25" thickTop="1" thickBot="1">
      <c r="A13" s="848" t="str">
        <f>Datos!A13</f>
        <v>TOTAL</v>
      </c>
      <c r="B13" s="858">
        <f>IF(ISNUMBER(NºAsuntos!G13/NºAsuntos!E13),NºAsuntos!G13/NºAsuntos!E13," - ")</f>
        <v>1.0405405405405406</v>
      </c>
      <c r="C13" s="859">
        <f>IF(ISNUMBER(NºAsuntos!I13/NºAsuntos!G13),NºAsuntos!I13/NºAsuntos!G13," - ")</f>
        <v>2.0983302411873841</v>
      </c>
      <c r="D13" s="860">
        <f>IF(ISNUMBER('Resol  Asuntos'!D13/NºAsuntos!G13),'Resol  Asuntos'!D13/NºAsuntos!G13," - ")</f>
        <v>0.36363636363636365</v>
      </c>
      <c r="E13" s="861">
        <f>IF(ISNUMBER((NºAsuntos!C13+NºAsuntos!E13)/NºAsuntos!G13),(NºAsuntos!C13+NºAsuntos!E13)/NºAsuntos!G13," - ")</f>
        <v>3.0983302411873841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0.97350993377483441</v>
      </c>
      <c r="C16" s="443">
        <f>IF(ISNUMBER(NºAsuntos!I16/NºAsuntos!G16),NºAsuntos!I16/NºAsuntos!G16," - ")</f>
        <v>1.0952380952380953</v>
      </c>
      <c r="D16" s="444">
        <f>IF(ISNUMBER('Resol  Asuntos'!D16/NºAsuntos!G16),'Resol  Asuntos'!D16/NºAsuntos!G16," - ")</f>
        <v>0.25170068027210885</v>
      </c>
      <c r="E16" s="445">
        <f>IF(ISNUMBER((NºAsuntos!C16+NºAsuntos!E16)/NºAsuntos!G16),(NºAsuntos!C16+NºAsuntos!E16)/NºAsuntos!G16," - ")</f>
        <v>2.0952380952380953</v>
      </c>
      <c r="G16" s="463"/>
    </row>
    <row r="17" spans="1:7" ht="13.5" thickBot="1">
      <c r="A17" s="402" t="str">
        <f>Datos!A17</f>
        <v>Jdos. Violencia contra la mujer</v>
      </c>
      <c r="B17" s="442">
        <f>IF(ISNUMBER(NºAsuntos!G17/NºAsuntos!E17),NºAsuntos!G17/NºAsuntos!E17," - ")</f>
        <v>1.0555555555555556</v>
      </c>
      <c r="C17" s="443">
        <f>IF(ISNUMBER(NºAsuntos!I17/NºAsuntos!G17),NºAsuntos!I17/NºAsuntos!G17," - ")</f>
        <v>0.15789473684210525</v>
      </c>
      <c r="D17" s="444">
        <f>IF(ISNUMBER('Resol  Asuntos'!D17/NºAsuntos!G17),'Resol  Asuntos'!D17/NºAsuntos!G17," - ")</f>
        <v>0.10526315789473684</v>
      </c>
      <c r="E17" s="445">
        <f>IF(ISNUMBER((NºAsuntos!C17+NºAsuntos!E17)/NºAsuntos!G17),(NºAsuntos!C17+NºAsuntos!E17)/NºAsuntos!G17," - ")</f>
        <v>1.1578947368421053</v>
      </c>
      <c r="G17" s="463"/>
    </row>
    <row r="18" spans="1:7" ht="14.25" thickTop="1" thickBot="1">
      <c r="A18" s="848" t="str">
        <f>Datos!A18</f>
        <v>TOTAL</v>
      </c>
      <c r="B18" s="858">
        <f>IF(ISNUMBER(NºAsuntos!G18/NºAsuntos!E18),NºAsuntos!G18/NºAsuntos!E18," - ")</f>
        <v>0.98224852071005919</v>
      </c>
      <c r="C18" s="859">
        <f>IF(ISNUMBER(NºAsuntos!I18/NºAsuntos!G18),NºAsuntos!I18/NºAsuntos!G18," - ")</f>
        <v>0.98795180722891562</v>
      </c>
      <c r="D18" s="862">
        <f>IF(ISNUMBER('Resol  Asuntos'!D18/NºAsuntos!G18),'Resol  Asuntos'!D18/NºAsuntos!G18," - ")</f>
        <v>0.23493975903614459</v>
      </c>
      <c r="E18" s="861">
        <f>IF(ISNUMBER((NºAsuntos!C18+NºAsuntos!E18)/NºAsuntos!G18),(NºAsuntos!C18+NºAsuntos!E18)/NºAsuntos!G18," - ")</f>
        <v>1.9879518072289157</v>
      </c>
      <c r="G18" s="463"/>
    </row>
    <row r="19" spans="1:7" ht="15.75" customHeight="1" thickTop="1" thickBot="1">
      <c r="A19" s="793" t="str">
        <f>Datos!A19</f>
        <v>TOTAL JURISDICCIONES</v>
      </c>
      <c r="B19" s="808">
        <f>IF(ISNUMBER(NºAsuntos!G19/NºAsuntos!E19),NºAsuntos!G19/NºAsuntos!E19," - ")</f>
        <v>1.0175233644859814</v>
      </c>
      <c r="C19" s="809">
        <f>IF(ISNUMBER(NºAsuntos!I19/NºAsuntos!G19),NºAsuntos!I19/NºAsuntos!G19," - ")</f>
        <v>1.6750861079219288</v>
      </c>
      <c r="D19" s="810">
        <f>IF(ISNUMBER('Resol  Asuntos'!D19/NºAsuntos!G19),'Resol  Asuntos'!D19/NºAsuntos!G19," - ")</f>
        <v>0.31458094144661308</v>
      </c>
      <c r="E19" s="811">
        <f>IF(ISNUMBER((NºAsuntos!C19+NºAsuntos!E19)/NºAsuntos!G19),(NºAsuntos!C19+NºAsuntos!E19)/NºAsuntos!G19," - ")</f>
        <v>2.675086107921929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0/gjuXZt4GJF7nvB/6f2PvdRUKQijvAcT0CyUkGAjFLeFVOC+zb946lAGI07lHT0MpZ0VSTDcgeiLQ9IrY27Q==" saltValue="+m1bGRbymAT2esJ0zV9x3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LAREDO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18</v>
      </c>
      <c r="AB10" s="334">
        <f>IF(ISNUMBER(Datos!R10),Datos!R10," - ")</f>
        <v>7</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10.8</v>
      </c>
      <c r="AN10" s="244">
        <f>IF(ISNUMBER('Resol  Asuntos'!D10/NºAsuntos!G10),'Resol  Asuntos'!D10/NºAsuntos!G10," - ")</f>
        <v>0.4</v>
      </c>
      <c r="AO10" s="245">
        <f>IF(ISNUMBER((NºAsuntos!C10+NºAsuntos!E10)/NºAsuntos!G10),(NºAsuntos!C10+NºAsuntos!E10)/NºAsuntos!G10," - ")</f>
        <v>4.5999999999999996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194</v>
      </c>
      <c r="AJ12" s="229" t="str">
        <f>IF(ISNUMBER(Datos!BW12),Datos!BW12," - ")</f>
        <v xml:space="preserve"> - </v>
      </c>
      <c r="AK12" s="228" t="str">
        <f>IF(ISNUMBER(Datos!BX12),Datos!BX12," - ")</f>
        <v xml:space="preserve"> - </v>
      </c>
      <c r="AL12" s="243">
        <f>IF(ISNUMBER(NºAsuntos!G12/NºAsuntos!E12),NºAsuntos!G12/NºAsuntos!E12," - ")</f>
        <v>1.0409356725146199</v>
      </c>
      <c r="AM12" s="260">
        <f>IF(ISNUMBER(((NºAsuntos!I12/NºAsuntos!G12)*11)/factor_trimestre),((NºAsuntos!I12/NºAsuntos!G12)*11)/factor_trimestre," - ")</f>
        <v>6.2528089887640457</v>
      </c>
      <c r="AN12" s="244">
        <f>IF(ISNUMBER('Resol  Asuntos'!D12/NºAsuntos!G12),'Resol  Asuntos'!D12/NºAsuntos!G12," - ")</f>
        <v>0.36329588014981273</v>
      </c>
      <c r="AO12" s="245">
        <f>IF(ISNUMBER((NºAsuntos!C12+NºAsuntos!E12)/NºAsuntos!G12),(NºAsuntos!C12+NºAsuntos!E12)/NºAsuntos!G12," - ")</f>
        <v>3.0842696629213484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75</v>
      </c>
      <c r="Y13" s="868">
        <f t="shared" si="4"/>
        <v>80</v>
      </c>
      <c r="Z13" s="868">
        <f t="shared" si="4"/>
        <v>0</v>
      </c>
      <c r="AA13" s="868">
        <f t="shared" si="4"/>
        <v>18</v>
      </c>
      <c r="AB13" s="868">
        <f t="shared" si="4"/>
        <v>1162</v>
      </c>
      <c r="AC13" s="868">
        <f t="shared" si="4"/>
        <v>25</v>
      </c>
      <c r="AD13" s="868">
        <f t="shared" si="4"/>
        <v>0</v>
      </c>
      <c r="AE13" s="872">
        <f t="shared" si="4"/>
        <v>0</v>
      </c>
      <c r="AF13" s="865">
        <f t="shared" si="4"/>
        <v>0</v>
      </c>
      <c r="AG13" s="873">
        <f t="shared" si="4"/>
        <v>0</v>
      </c>
      <c r="AH13" s="870">
        <f t="shared" si="4"/>
        <v>0</v>
      </c>
      <c r="AI13" s="865">
        <f t="shared" si="4"/>
        <v>196</v>
      </c>
      <c r="AJ13" s="867">
        <f t="shared" si="4"/>
        <v>0</v>
      </c>
      <c r="AK13" s="870">
        <f>SUBTOTAL(9,AK9:AK12)</f>
        <v>0</v>
      </c>
      <c r="AL13" s="874">
        <f>IF(ISNUMBER(NºAsuntos!G13/NºAsuntos!E13),NºAsuntos!G13/NºAsuntos!E13," - ")</f>
        <v>1.0405405405405406</v>
      </c>
      <c r="AM13" s="874">
        <f>IF(ISNUMBER(((NºAsuntos!I13/NºAsuntos!G13)*11)/factor_trimestre),((NºAsuntos!I13/NºAsuntos!G13)*11)/factor_trimestre," - ")</f>
        <v>6.2949907235621518</v>
      </c>
      <c r="AN13" s="875">
        <f>IF(ISNUMBER('Resol  Asuntos'!D13/NºAsuntos!G13),'Resol  Asuntos'!D13/NºAsuntos!G13," - ")</f>
        <v>0.36363636363636365</v>
      </c>
      <c r="AO13" s="876">
        <f>IF(ISNUMBER((NºAsuntos!C13+NºAsuntos!E13)/NºAsuntos!G13),(NºAsuntos!C13+NºAsuntos!E13)/NºAsuntos!G13," - ")</f>
        <v>3.0983302411873841</v>
      </c>
      <c r="AP13" s="877" t="str">
        <f t="shared" si="2"/>
        <v xml:space="preserve"> - </v>
      </c>
      <c r="AQ13" s="877">
        <f>IF(ISNUMBER((H13-W13+K13)/(F13)),(H13-W13+K13)/(F13)," - ")</f>
        <v>-0.27777777777777779</v>
      </c>
      <c r="AR13" s="878">
        <f>IF(ISNUMBER((Datos!P13-Datos!Q13)/(Datos!R13-Datos!P13+Datos!Q13)),(Datos!P13-Datos!Q13)/(Datos!R13-Datos!P13+Datos!Q13)," - ")</f>
        <v>3.2888888888888891E-2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314</v>
      </c>
      <c r="G16" s="333">
        <f>IF(ISNUMBER(IF(D_I="SI",Datos!I16,Datos!I16+Datos!AC16)),IF(D_I="SI",Datos!I16,Datos!I16+Datos!AC16)," - ")</f>
        <v>314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294</v>
      </c>
      <c r="X16" s="226">
        <f>IF(ISNUMBER(Datos!Q16),Datos!Q16," - ")</f>
        <v>15</v>
      </c>
      <c r="Y16" s="334">
        <f t="shared" ref="Y16:Y17" si="7">SUM(W16:X16)</f>
        <v>309</v>
      </c>
      <c r="Z16" s="335" t="str">
        <f>IF(ISNUMBER(Datos!CC16),Datos!CC16," - ")</f>
        <v xml:space="preserve"> - </v>
      </c>
      <c r="AA16" s="332">
        <f>IF(ISNUMBER(IF(D_I="SI",Datos!L16,Datos!L16+Datos!AF16)),IF(D_I="SI",Datos!L16,Datos!L16+Datos!AF16)," - ")</f>
        <v>322</v>
      </c>
      <c r="AB16" s="334">
        <f>IF(ISNUMBER(Datos!R16),Datos!R16," - ")</f>
        <v>73</v>
      </c>
      <c r="AC16" s="334">
        <f t="shared" si="6"/>
        <v>395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74</v>
      </c>
      <c r="AJ16" s="231" t="str">
        <f>IF(ISNUMBER(Datos!BW16),Datos!BW16," - ")</f>
        <v xml:space="preserve"> - </v>
      </c>
      <c r="AK16" s="232" t="str">
        <f>IF(ISNUMBER(Datos!BX16),Datos!BX16," - ")</f>
        <v xml:space="preserve"> - </v>
      </c>
      <c r="AL16" s="243">
        <f>IF(ISNUMBER(NºAsuntos!G16/NºAsuntos!E16),NºAsuntos!G16/NºAsuntos!E16," - ")</f>
        <v>0.97350993377483441</v>
      </c>
      <c r="AM16" s="260">
        <f>IF(ISNUMBER(((NºAsuntos!I16/NºAsuntos!G16)*11)/factor_trimestre),((NºAsuntos!I16/NºAsuntos!G16)*11)/factor_trimestre," - ")</f>
        <v>3.2857142857142865</v>
      </c>
      <c r="AN16" s="244">
        <f>IF(ISNUMBER('Resol  Asuntos'!D16/NºAsuntos!G16),'Resol  Asuntos'!D16/NºAsuntos!G16," - ")</f>
        <v>0.25170068027210885</v>
      </c>
      <c r="AO16" s="245">
        <f>IF(ISNUMBER((NºAsuntos!C16+NºAsuntos!E16)/NºAsuntos!G16),(NºAsuntos!C16+NºAsuntos!E16)/NºAsuntos!G16," - ")</f>
        <v>2.0952380952380953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6</v>
      </c>
      <c r="AB17" s="334">
        <f>IF(ISNUMBER(Datos!R17),Datos!R17," - ")</f>
        <v>1</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1.0555555555555556</v>
      </c>
      <c r="AM17" s="260">
        <f>IF(ISNUMBER(((NºAsuntos!I17/NºAsuntos!G17)*11)/factor_trimestre),((NºAsuntos!I17/NºAsuntos!G17)*11)/factor_trimestre," - ")</f>
        <v>0.47368421052631576</v>
      </c>
      <c r="AN17" s="244">
        <f>IF(ISNUMBER('Resol  Asuntos'!D17/NºAsuntos!G17),'Resol  Asuntos'!D17/NºAsuntos!G17," - ")</f>
        <v>0.10526315789473684</v>
      </c>
      <c r="AO17" s="245">
        <f>IF(ISNUMBER((NºAsuntos!C17+NºAsuntos!E17)/NºAsuntos!G17),(NºAsuntos!C17+NºAsuntos!E17)/NºAsuntos!G17," - ")</f>
        <v>1.1578947368421053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314</v>
      </c>
      <c r="G18" s="866">
        <f>SUBTOTAL(9,G15:G17)</f>
        <v>322</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332</v>
      </c>
      <c r="X18" s="867">
        <f t="shared" si="11"/>
        <v>15</v>
      </c>
      <c r="Y18" s="868">
        <f t="shared" si="11"/>
        <v>347</v>
      </c>
      <c r="Z18" s="868">
        <f t="shared" si="11"/>
        <v>0</v>
      </c>
      <c r="AA18" s="868">
        <f t="shared" si="11"/>
        <v>328</v>
      </c>
      <c r="AB18" s="868">
        <f t="shared" si="11"/>
        <v>74</v>
      </c>
      <c r="AC18" s="868">
        <f t="shared" si="11"/>
        <v>402</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0.98224852071005919</v>
      </c>
      <c r="AM18" s="874">
        <f>IF(ISNUMBER(((NºAsuntos!I18/NºAsuntos!G18)*11)/factor_trimestre),((NºAsuntos!I18/NºAsuntos!G18)*11)/factor_trimestre," - ")</f>
        <v>2.963855421686747</v>
      </c>
      <c r="AN18" s="875">
        <f>IF(ISNUMBER('Resol  Asuntos'!D18/NºAsuntos!G18),'Resol  Asuntos'!D18/NºAsuntos!G18," - ")</f>
        <v>0.23493975903614459</v>
      </c>
      <c r="AO18" s="876">
        <f>IF(ISNUMBER((NºAsuntos!C18+NºAsuntos!E18)/NºAsuntos!G18),(NºAsuntos!C18+NºAsuntos!E18)/NºAsuntos!G18," - ")</f>
        <v>1.9879518072289157</v>
      </c>
      <c r="AP18" s="877" t="str">
        <f t="shared" si="2"/>
        <v xml:space="preserve"> - </v>
      </c>
      <c r="AQ18" s="877">
        <f>IF(ISNUMBER((H18-W18+K18)/(F18)),(H18-W18+K18)/(F18)," - ")</f>
        <v>-1.0573248407643312</v>
      </c>
      <c r="AR18" s="878">
        <f>IF(ISNUMBER((Datos!P18-Datos!Q18)/(Datos!R18-Datos!P18+Datos!Q18)),(Datos!P18-Datos!Q18)/(Datos!R18-Datos!P18+Datos!Q18)," - ")</f>
        <v>-1.3333333333333334E-2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332</v>
      </c>
      <c r="G19" s="821">
        <f t="shared" si="13"/>
        <v>340</v>
      </c>
      <c r="H19" s="820">
        <f t="shared" si="13"/>
        <v>0</v>
      </c>
      <c r="I19" s="822">
        <f t="shared" si="13"/>
        <v>0</v>
      </c>
      <c r="J19" s="822">
        <f t="shared" si="13"/>
        <v>0</v>
      </c>
      <c r="K19" s="881">
        <f t="shared" si="13"/>
        <v>0</v>
      </c>
      <c r="L19" s="822">
        <f t="shared" si="13"/>
        <v>126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337</v>
      </c>
      <c r="X19" s="821">
        <f t="shared" si="14"/>
        <v>90</v>
      </c>
      <c r="Y19" s="828">
        <f t="shared" si="14"/>
        <v>427</v>
      </c>
      <c r="Z19" s="828">
        <f t="shared" si="14"/>
        <v>0</v>
      </c>
      <c r="AA19" s="828">
        <f t="shared" si="14"/>
        <v>346</v>
      </c>
      <c r="AB19" s="828">
        <f t="shared" si="14"/>
        <v>1236</v>
      </c>
      <c r="AC19" s="828">
        <f t="shared" si="14"/>
        <v>427</v>
      </c>
      <c r="AD19" s="828">
        <f t="shared" si="14"/>
        <v>0</v>
      </c>
      <c r="AE19" s="830">
        <f t="shared" si="14"/>
        <v>0</v>
      </c>
      <c r="AF19" s="831">
        <f t="shared" si="14"/>
        <v>0</v>
      </c>
      <c r="AG19" s="832">
        <f t="shared" si="14"/>
        <v>0</v>
      </c>
      <c r="AH19" s="830">
        <f t="shared" si="14"/>
        <v>0</v>
      </c>
      <c r="AI19" s="820">
        <f t="shared" si="14"/>
        <v>274</v>
      </c>
      <c r="AJ19" s="820">
        <f t="shared" si="14"/>
        <v>0</v>
      </c>
      <c r="AK19" s="830">
        <f t="shared" si="14"/>
        <v>0</v>
      </c>
      <c r="AL19" s="884">
        <f>IF(ISNUMBER(NºAsuntos!G19/NºAsuntos!E19),NºAsuntos!G19/NºAsuntos!E19," - ")</f>
        <v>1.0175233644859814</v>
      </c>
      <c r="AM19" s="885">
        <f>IF(ISNUMBER(((NºAsuntos!I19/NºAsuntos!G19)*11)/factor_trimestre),((NºAsuntos!I19/NºAsuntos!G19)*11)/factor_trimestre," - ")</f>
        <v>5.0252583237657866</v>
      </c>
      <c r="AN19" s="885">
        <f>IF(ISNUMBER('Resol  Asuntos'!D19/NºAsuntos!G19),'Resol  Asuntos'!D19/NºAsuntos!G19," - ")</f>
        <v>0.31458094144661308</v>
      </c>
      <c r="AO19" s="886">
        <f>IF(ISNUMBER((NºAsuntos!C19+NºAsuntos!E19)/NºAsuntos!G19),(NºAsuntos!C19+NºAsuntos!E19)/NºAsuntos!G19," - ")</f>
        <v>2.675086107921929</v>
      </c>
      <c r="AP19" s="887" t="str">
        <f t="shared" si="2"/>
        <v xml:space="preserve"> - </v>
      </c>
      <c r="AQ19" s="888">
        <f>IF(OR(ISNUMBER(FIND("01",Criterios!A8,1)),ISNUMBER(FIND("02",Criterios!A8,1)),ISNUMBER(FIND("03",Criterios!A8,1)),ISNUMBER(FIND("04",Criterios!A8,1))),(I19-W19+K19)/(F19-K19),(H19-W19+K19)/(F19-K19))</f>
        <v>-1.0150602409638554</v>
      </c>
      <c r="AR19" s="889">
        <f>IF(ISNUMBER((Datos!P19-Datos!Q19)/(Datos!R19-Datos!P19+Datos!Q19)),(Datos!P19-Datos!Q19)/(Datos!R19-Datos!P19+Datos!Q19)," - ")</f>
        <v>0.03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170.89567968012923</v>
      </c>
      <c r="G21" s="253">
        <f>IF(ISNUMBER(STDEV(G8:G18)),STDEV(G8:G18),"-")</f>
        <v>166.21672599350524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163.78247769526507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86.696405154231556</v>
      </c>
      <c r="AJ21" s="252">
        <f t="shared" si="18"/>
        <v>0</v>
      </c>
      <c r="AK21" s="254">
        <f t="shared" si="18"/>
        <v>0</v>
      </c>
      <c r="AL21" s="249">
        <f t="shared" si="18"/>
        <v>3.4604967388712271E-2</v>
      </c>
      <c r="AM21" s="250">
        <f t="shared" si="18"/>
        <v>3.5904842230563268</v>
      </c>
      <c r="AN21" s="250">
        <f t="shared" si="18"/>
        <v>0.11085676826403078</v>
      </c>
      <c r="AO21" s="251">
        <f t="shared" si="18"/>
        <v>1.1968280743521076</v>
      </c>
      <c r="AP21" s="291" t="str">
        <f t="shared" si="18"/>
        <v>-</v>
      </c>
      <c r="AQ21" s="292">
        <f t="shared" si="18"/>
        <v>0.5512230144918483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K+t7c+U2thdGX44JOwbBTTX7DzJYvadqW82/V2v+O563tTWQEVLjM6FiVzk2xAYYhKFjBrQ3Q7+TZwUS5UiEg==" saltValue="3ChFZ/uwngve5QpbevWp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LAREDO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0.25</v>
      </c>
      <c r="G10" s="349">
        <f>IF(ISNUMBER((Datos!L10-Datos!V10)/Datos!V10),(Datos!L10-Datos!V10)/Datos!V10," - ")</f>
        <v>0.38461538461538464</v>
      </c>
      <c r="H10" s="230">
        <f>IF(ISNUMBER((Datos!M10-Datos!W10)/Datos!W10),(Datos!M10-Datos!W10)/Datos!W10," - ")</f>
        <v>0</v>
      </c>
      <c r="I10" s="350">
        <f>IF(ISNUMBER((Tasas!C10-Datos!BE10)/Datos!BE10),(Tasas!C10-Datos!BE10)/Datos!BE10," - ")</f>
        <v>0.10769230769230773</v>
      </c>
      <c r="J10" s="349">
        <f>IF(ISNUMBER((Tasas!D10-Datos!BF10)/Datos!BF10),(Tasas!D10-Datos!BF10)/Datos!BF10," - ")</f>
        <v>-0.19999999999999996</v>
      </c>
      <c r="K10" s="351">
        <f>IF(ISNUMBER((Tasas!E10-Datos!BG10)/Datos!BG10),(Tasas!E10-Datos!BG10)/Datos!BG10," - ")</f>
        <v>8.2352941176470504E-2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0.88349514563106801</v>
      </c>
      <c r="I12" s="350">
        <f>IF(ISNUMBER((Tasas!C12-Datos!BE12)/Datos!BE12),(Tasas!C12-Datos!BE12)/Datos!BE12," - ")</f>
        <v>-0.27571075475528067</v>
      </c>
      <c r="J12" s="349">
        <f>IF(ISNUMBER((Tasas!D12-Datos!BF12)/Datos!BF12),(Tasas!D12-Datos!BF12)/Datos!BF12," - ")</f>
        <v>5.1307546982201448E-2</v>
      </c>
      <c r="K12" s="351">
        <f>IF(ISNUMBER((Tasas!E12-Datos!BG12)/Datos!BG12),(Tasas!E12-Datos!BG12)/Datos!BG12," - ")</f>
        <v>-0.20460869102895829</v>
      </c>
      <c r="M12" t="e">
        <f>IF(Monitorios="SI",Datos!CE12,0)</f>
        <v>#REF!</v>
      </c>
      <c r="N12" t="e">
        <f>IF(Monitorios="SI",Datos!CF12,0)</f>
        <v>#REF!</v>
      </c>
      <c r="O12" t="e">
        <f>IF(Monitorios="SI",Datos!CG12,0)</f>
        <v>#REF!</v>
      </c>
      <c r="P12" t="e">
        <f>IF(Monitorios="SI",Datos!CH12,0)</f>
        <v>#REF!</v>
      </c>
      <c r="Q12">
        <f>IF(J_V="SI",0,Datos!AG12)</f>
        <v>19</v>
      </c>
      <c r="R12">
        <f>IF(J_V="SI",0,Datos!AH12)</f>
        <v>37</v>
      </c>
      <c r="S12">
        <f>IF(J_V="SI",0,Datos!AI12)</f>
        <v>44</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0.8666666666666667</v>
      </c>
      <c r="I13" s="357">
        <f>IF(ISNUMBER((Tasas!C13-Datos!BE13)/Datos!BE13),(Tasas!C13-Datos!BE13)/Datos!BE13," - ")</f>
        <v>-0.2719629875964108</v>
      </c>
      <c r="J13" s="355">
        <f>IF(ISNUMBER((Tasas!D13-Datos!BF13)/Datos!BF13),(Tasas!D13-Datos!BF13)/Datos!BF13," - ")</f>
        <v>4.6640316205533647E-2</v>
      </c>
      <c r="K13" s="358">
        <f>IF(ISNUMBER((Tasas!E13-Datos!BG13)/Datos!BG13),(Tasas!E13-Datos!BG13)/Datos!BG13," - ")</f>
        <v>-0.20190870830114857</v>
      </c>
      <c r="M13" t="e">
        <f>IF(Monitorios="SI",Datos!CE13,0)</f>
        <v>#REF!</v>
      </c>
      <c r="N13" t="e">
        <f>IF(Monitorios="SI",Datos!CF13,0)</f>
        <v>#REF!</v>
      </c>
      <c r="O13" t="e">
        <f>IF(Monitorios="SI",Datos!CG13,0)</f>
        <v>#REF!</v>
      </c>
      <c r="P13" t="e">
        <f>IF(Monitorios="SI",Datos!CH13,0)</f>
        <v>#REF!</v>
      </c>
      <c r="Q13">
        <f>IF(J_V="SI",0,Datos!AG13)</f>
        <v>19</v>
      </c>
      <c r="R13">
        <f>IF(J_V="SI",0,Datos!AH13)</f>
        <v>37</v>
      </c>
      <c r="S13">
        <f>IF(J_V="SI",0,Datos!AI13)</f>
        <v>44</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0.37117903930131002</v>
      </c>
      <c r="E16" s="348">
        <f>IF(ISNUMBER(
   IF(D_I="SI",(Datos!J16-Datos!T16)/Datos!T16,(Datos!J16+Datos!AD16-(Datos!T16+Datos!AL16))/(Datos!T16+Datos!AL16))
     ),IF(D_I="SI",(Datos!J16-Datos!T16)/Datos!T16,(Datos!J16+Datos!AD16-(Datos!T16+Datos!AL16))/(Datos!T16+Datos!AL16))," - ")</f>
        <v>-0.13218390804597702</v>
      </c>
      <c r="F16" s="348">
        <f>IF(ISNUMBER(
   IF(D_I="SI",(Datos!K16-Datos!U16)/Datos!U16,(Datos!K16+Datos!AE16-(Datos!U16+Datos!AM16))/(Datos!U16+Datos!AM16))
     ),IF(D_I="SI",(Datos!K16-Datos!U16)/Datos!U16,(Datos!K16+Datos!AE16-(Datos!U16+Datos!AM16))/(Datos!U16+Datos!AM16))," - ")</f>
        <v>-0.10909090909090909</v>
      </c>
      <c r="G16" s="349">
        <f>IF(ISNUMBER(
   IF(D_I="SI",(Datos!L16-Datos!V16)/Datos!V16,(Datos!L16+Datos!AF16-(Datos!V16+Datos!AN16))/(Datos!V16+Datos!AN16))
     ),IF(D_I="SI",(Datos!L16-Datos!V16)/Datos!V16,(Datos!L16+Datos!AF16-(Datos!V16+Datos!AN16))/(Datos!V16+Datos!AN16))," - ")</f>
        <v>0.29317269076305219</v>
      </c>
      <c r="H16" s="230">
        <f>IF(ISNUMBER((Datos!M16-Datos!W16)/Datos!W16),(Datos!M16-Datos!W16)/Datos!W16," - ")</f>
        <v>0.80487804878048785</v>
      </c>
      <c r="I16" s="350">
        <f>IF(ISNUMBER((Tasas!C16-Datos!BE16)/Datos!BE16),(Tasas!C16-Datos!BE16)/Datos!BE16," - ")</f>
        <v>0.45152036718301797</v>
      </c>
      <c r="J16" s="349">
        <f>IF(ISNUMBER((Tasas!D16-Datos!BF16)/Datos!BF16),(Tasas!D16-Datos!BF16)/Datos!BF16," - ")</f>
        <v>1.025883524141364</v>
      </c>
      <c r="K16" s="351">
        <f>IF(ISNUMBER((Tasas!E16-Datos!BG16)/Datos!BG16),(Tasas!E16-Datos!BG16)/Datos!BG16," - ")</f>
        <v>0.19831641495419661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-0.18181818181818182</v>
      </c>
      <c r="F17" s="348">
        <f>IF(ISNUMBER(
   IF(D_I="SI",(Datos!K17-Datos!U17)/Datos!U17,(Datos!K17+Datos!AE17-(Datos!U17+Datos!AM17))/(Datos!U17+Datos!AM17))
     ),IF(D_I="SI",(Datos!K17-Datos!U17)/Datos!U17,(Datos!K17+Datos!AE17-(Datos!U17+Datos!AM17))/(Datos!U17+Datos!AM17))," - ")</f>
        <v>-0.15555555555555556</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-0.33333333333333331</v>
      </c>
      <c r="I17" s="350">
        <f>IF(ISNUMBER((Tasas!C17-Datos!BE17)/Datos!BE17),(Tasas!C17-Datos!BE17)/Datos!BE17," - ")</f>
        <v>-0.28947368421052633</v>
      </c>
      <c r="J17" s="349">
        <f>IF(ISNUMBER((Tasas!D17-Datos!BF17)/Datos!BF17),(Tasas!D17-Datos!BF17)/Datos!BF17," - ")</f>
        <v>-0.21052631578947373</v>
      </c>
      <c r="K17" s="351">
        <f>IF(ISNUMBER((Tasas!E17-Datos!BG17)/Datos!BG17),(Tasas!E17-Datos!BG17)/Datos!BG17," - ")</f>
        <v>-5.263157894736846E-2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0.34166666666666667</v>
      </c>
      <c r="E18" s="354">
        <f>IF(ISNUMBER(
   IF(D_I="SI",(Datos!J18-Datos!T18)/Datos!T18,(Datos!J18+Datos!AD18-(Datos!T18+Datos!AL18))/(Datos!T18+Datos!AL18))
     ),IF(D_I="SI",(Datos!J18-Datos!T18)/Datos!T18,(Datos!J18+Datos!AD18-(Datos!T18+Datos!AL18))/(Datos!T18+Datos!AL18))," - ")</f>
        <v>-0.13775510204081631</v>
      </c>
      <c r="F18" s="354">
        <f>IF(ISNUMBER(
   IF(D_I="SI",(Datos!K18-Datos!U18)/Datos!U18,(Datos!K18+Datos!AE18-(Datos!U18+Datos!AM18))/(Datos!U18+Datos!AM18))
     ),IF(D_I="SI",(Datos!K18-Datos!U18)/Datos!U18,(Datos!K18+Datos!AE18-(Datos!U18+Datos!AM18))/(Datos!U18+Datos!AM18))," - ")</f>
        <v>-0.11466666666666667</v>
      </c>
      <c r="G18" s="355">
        <f>IF(ISNUMBER(
   IF(D_I="SI",(Datos!L18-Datos!V18)/Datos!V18,(Datos!L18+Datos!AF18-(Datos!V18+Datos!AN18))/(Datos!V18+Datos!AN18))
     ),IF(D_I="SI",(Datos!L18-Datos!V18)/Datos!V18,(Datos!L18+Datos!AF18-(Datos!V18+Datos!AN18))/(Datos!V18+Datos!AN18))," - ")</f>
        <v>0.26640926640926643</v>
      </c>
      <c r="H18" s="356">
        <f>IF(ISNUMBER((Datos!M18-Datos!W18)/Datos!W18),(Datos!M18-Datos!W18)/Datos!W18," - ")</f>
        <v>0.65957446808510634</v>
      </c>
      <c r="I18" s="357">
        <f>IF(ISNUMBER((Tasas!C18-Datos!BE18)/Datos!BE18),(Tasas!C18-Datos!BE18)/Datos!BE18," - ")</f>
        <v>0.43043215332371959</v>
      </c>
      <c r="J18" s="355">
        <f>IF(ISNUMBER((Tasas!D18-Datos!BF18)/Datos!BF18),(Tasas!D18-Datos!BF18)/Datos!BF18," - ")</f>
        <v>0.87451935401179204</v>
      </c>
      <c r="K18" s="358">
        <f>IF(ISNUMBER((Tasas!E18-Datos!BG18)/Datos!BG18),(Tasas!E18-Datos!BG18)/Datos!BG18," - ")</f>
        <v>0.17956001220070159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0.46959122632103689</v>
      </c>
      <c r="E19" s="363">
        <f>IF(ISNUMBER(
   IF(J_V="SI",(Datos!J19-Datos!T19)/Datos!T19,(Datos!J19+Datos!Z19-(Datos!T19+Datos!AH19))/(Datos!T19+Datos!AH19))
     ),IF(J_V="SI",(Datos!J19-Datos!T19)/Datos!T19,(Datos!J19+Datos!Z19-(Datos!T19+Datos!AH19))/(Datos!T19+Datos!AH19))," - ")</f>
        <v>-6.3457330415754923E-2</v>
      </c>
      <c r="F19" s="363">
        <f>IF(ISNUMBER(
   IF(J_V="SI",(Datos!K19-Datos!U19)/Datos!U19,(Datos!K19+Datos!AA19-(Datos!U19+Datos!AI19))/(Datos!U19+Datos!AI19))
     ),IF(J_V="SI",(Datos!K19-Datos!U19)/Datos!U19,(Datos!K19+Datos!AA19-(Datos!U19+Datos!AI19))/(Datos!U19+Datos!AI19))," - ")</f>
        <v>0.23371104815864022</v>
      </c>
      <c r="G19" s="364">
        <f>IF(ISNUMBER(
   IF(J_V="SI",(Datos!L19-Datos!V19)/Datos!V19,(Datos!L19+Datos!AB19-(Datos!V19+Datos!AJ19))/(Datos!V19+Datos!AJ19))
     ),IF(J_V="SI",(Datos!L19-Datos!V19)/Datos!V19,(Datos!L19+Datos!AB19-(Datos!V19+Datos!AJ19))/(Datos!V19+Datos!AJ19))," - ")</f>
        <v>0.20280296784830998</v>
      </c>
      <c r="H19" s="365">
        <f>IF(ISNUMBER((Datos!M19-Datos!W19)/Datos!W19),(Datos!M19-Datos!W19)/Datos!W19," - ")</f>
        <v>0.80263157894736847</v>
      </c>
      <c r="I19" s="362">
        <f>IF(ISNUMBER((Tasas!C19-Datos!BE19)/Datos!BE19),(Tasas!C19-Datos!BE19)/Datos!BE19," - ")</f>
        <v>-2.5052933064400859E-2</v>
      </c>
      <c r="J19" s="363">
        <f>IF(ISNUMBER((Tasas!D19-Datos!BF19)/Datos!BF19),(Tasas!D19-Datos!BF19)/Datos!BF19," - ")</f>
        <v>0.37095151025499284</v>
      </c>
      <c r="K19" s="364">
        <f>IF(ISNUMBER((Tasas!E19-Datos!BG19)/Datos!BG19),(Tasas!E19-Datos!BG19)/Datos!BG19," - ")</f>
        <v>-1.4809185084568582E-2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0.34541496227352964</v>
      </c>
      <c r="E21" s="278">
        <f t="shared" si="1"/>
        <v>7.8497908283778062E-2</v>
      </c>
      <c r="F21" s="278">
        <f t="shared" si="1"/>
        <v>0.18935533640259627</v>
      </c>
      <c r="G21" s="279">
        <f t="shared" si="1"/>
        <v>0.36093186393861626</v>
      </c>
      <c r="H21" s="285">
        <f t="shared" si="1"/>
        <v>0.51807779675369325</v>
      </c>
      <c r="I21" s="277">
        <f t="shared" si="1"/>
        <v>0.35514490138765981</v>
      </c>
      <c r="J21" s="278">
        <f t="shared" si="1"/>
        <v>0.54518849664360991</v>
      </c>
      <c r="K21" s="279">
        <f t="shared" si="1"/>
        <v>0.18097233868007936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Lj5/kmgfh2+7fiLvGr8TkXxtjPDO2SDozpvngcBGDmpyM4AFdG6uh54JYjDMtT1WE/0gym8pTpbC6emmWkmQ==" saltValue="3p6M0w+p+1zAimTRT8Qd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